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autoCompressPictures="0"/>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104" documentId="13_ncr:1_{4D8F4C4B-30FC-4776-A920-6C19855DB272}" xr6:coauthVersionLast="47" xr6:coauthVersionMax="47" xr10:uidLastSave="{267D08F3-D196-4E5F-8CCD-EF723879CC42}"/>
  <bookViews>
    <workbookView xWindow="-120" yWindow="-120" windowWidth="29040" windowHeight="17520" tabRatio="764" activeTab="2" xr2:uid="{00000000-000D-0000-FFFF-FFFF00000000}"/>
  </bookViews>
  <sheets>
    <sheet name="Use" sheetId="35" r:id="rId1"/>
    <sheet name="Aircraft" sheetId="30" r:id="rId2"/>
    <sheet name="Airport_use" sheetId="50" r:id="rId3"/>
    <sheet name="Airport_construction" sheetId="51" r:id="rId4"/>
    <sheet name="Airport_decommission " sheetId="52" r:id="rId5"/>
    <sheet name="MAIN EoL" sheetId="43" r:id="rId6"/>
    <sheet name="Powerplant" sheetId="70" r:id="rId7"/>
    <sheet name="Powerplant treatment processes" sheetId="71" r:id="rId8"/>
    <sheet name="SAF" sheetId="72" r:id="rId9"/>
    <sheet name="production of battery Li-S" sheetId="73" r:id="rId10"/>
    <sheet name="battery EoL Li-ion" sheetId="74" r:id="rId11"/>
    <sheet name="PEMFC" sheetId="75" r:id="rId12"/>
    <sheet name="H2_storage" sheetId="76" r:id="rId13"/>
    <sheet name="1. MOTORS AND DRIVES" sheetId="77" r:id="rId14"/>
    <sheet name="2.POWER ELECTRONICS" sheetId="78" r:id="rId15"/>
    <sheet name="2. ALL Waste processes" sheetId="79" r:id="rId16"/>
    <sheet name="2. ALL Driver Board" sheetId="80" r:id="rId17"/>
    <sheet name="2. ALL Logic Board" sheetId="81" r:id="rId18"/>
    <sheet name="2A. DCAC GRID INVERTER" sheetId="82" r:id="rId19"/>
    <sheet name="2A. Reusable" sheetId="83" r:id="rId20"/>
    <sheet name="2A. Cable glands" sheetId="84" r:id="rId21"/>
    <sheet name="2A. Machined casing" sheetId="85" r:id="rId22"/>
    <sheet name="2A. IGBT power module" sheetId="86" r:id="rId23"/>
    <sheet name="2B. ISOLATING DCDC CONVERTER" sheetId="87" r:id="rId24"/>
    <sheet name="2B. Reusable" sheetId="88" r:id="rId25"/>
    <sheet name="2B. Cable glands" sheetId="89" r:id="rId26"/>
    <sheet name="2B. Machined casing" sheetId="90" r:id="rId27"/>
    <sheet name="2B. IGBT power module" sheetId="91" r:id="rId28"/>
    <sheet name="2C. N-ISOLATING DCDC CONVERTER" sheetId="92" r:id="rId29"/>
    <sheet name="2C. Reusable" sheetId="93" r:id="rId30"/>
    <sheet name="2C. Cable glands" sheetId="94" r:id="rId31"/>
    <sheet name="2C. Machined casing" sheetId="95" r:id="rId32"/>
    <sheet name="2C. IGBT power module" sheetId="96" r:id="rId33"/>
    <sheet name="2D. MOTOR DRIVE INVERTER" sheetId="97" r:id="rId34"/>
    <sheet name="2D. Reusable" sheetId="98" r:id="rId35"/>
    <sheet name="2D. Cable glands" sheetId="99" r:id="rId36"/>
    <sheet name="2D. Machined casing" sheetId="100" r:id="rId37"/>
    <sheet name="2D. IGBT power module" sheetId="101" r:id="rId38"/>
    <sheet name="2E. BATTERY DCDC CONVERTER" sheetId="102" r:id="rId39"/>
    <sheet name="2E. Reusable" sheetId="103" r:id="rId40"/>
    <sheet name="2E. Cable glands" sheetId="104" r:id="rId41"/>
    <sheet name="2E. Machined casing" sheetId="105" r:id="rId42"/>
    <sheet name="2E. IGBT power module" sheetId="106" r:id="rId43"/>
    <sheet name="Power elec EoL LCI" sheetId="44" r:id="rId44"/>
    <sheet name="motors and drives EoL LCI" sheetId="45" r:id="rId45"/>
    <sheet name="powerplant EoL LCI" sheetId="46" r:id="rId46"/>
    <sheet name="airframe EoL LCI" sheetId="47" r:id="rId47"/>
    <sheet name="H2 storage EoL" sheetId="48" r:id="rId48"/>
    <sheet name="PEMFC EoL" sheetId="49" r:id="rId49"/>
    <sheet name="Airframe" sheetId="29" r:id="rId50"/>
    <sheet name="Systems" sheetId="31" r:id="rId51"/>
    <sheet name="Furnishing" sheetId="32" r:id="rId52"/>
    <sheet name="Operative equipment" sheetId="33" r:id="rId53"/>
    <sheet name="H2_production" sheetId="36" r:id="rId54"/>
    <sheet name="Electrolyzer_construction" sheetId="37" r:id="rId55"/>
    <sheet name="Electrolyzer EoL" sheetId="38" r:id="rId56"/>
    <sheet name="Liquefaction_system_constructio" sheetId="39" r:id="rId57"/>
    <sheet name="Liq_sys_Eol" sheetId="40" r:id="rId58"/>
    <sheet name="H2_transport" sheetId="41" r:id="rId59"/>
    <sheet name="H2_storage_tank_EoL" sheetId="42" r:id="rId60"/>
    <sheet name="Main" sheetId="67" r:id="rId61"/>
    <sheet name="converters" sheetId="68" r:id="rId62"/>
    <sheet name="rest" sheetId="69" r:id="rId63"/>
    <sheet name="CHARGING STATION" sheetId="53" r:id="rId64"/>
    <sheet name="A&amp;B Same Processes" sheetId="54" r:id="rId65"/>
    <sheet name="A&amp;B Driver Board " sheetId="55" r:id="rId66"/>
    <sheet name="A&amp;B Logic board" sheetId="56" r:id="rId67"/>
    <sheet name="A. ACDC POWER MODULE " sheetId="57" r:id="rId68"/>
    <sheet name="A.Reused" sheetId="58" r:id="rId69"/>
    <sheet name="A. Cable glands" sheetId="59" r:id="rId70"/>
    <sheet name="A. Machined casing" sheetId="60" r:id="rId71"/>
    <sheet name="A. IGBT power module" sheetId="61" r:id="rId72"/>
    <sheet name="B. DCDC POWER MODULE " sheetId="62" r:id="rId73"/>
    <sheet name="B.Reused" sheetId="63" r:id="rId74"/>
    <sheet name="B. Cable glands" sheetId="64" r:id="rId75"/>
    <sheet name="B. Machined casing" sheetId="65" r:id="rId76"/>
    <sheet name="B. IGBT power module" sheetId="66" r:id="rId77"/>
  </sheets>
  <externalReferences>
    <externalReference r:id="rId78"/>
    <externalReference r:id="rId79"/>
    <externalReference r:id="rId80"/>
    <externalReference r:id="rId81"/>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C25" i="75" l="1"/>
  <c r="AC26" i="75"/>
  <c r="AC27" i="75"/>
  <c r="AC28" i="75"/>
  <c r="AC29" i="75"/>
  <c r="AC30" i="75"/>
  <c r="AC31" i="75"/>
  <c r="AC32" i="75"/>
  <c r="AC33" i="75"/>
  <c r="AC34" i="75"/>
  <c r="AC35" i="75"/>
  <c r="AC36" i="75"/>
  <c r="AC37" i="75"/>
  <c r="AC38" i="75"/>
  <c r="AC39" i="75"/>
  <c r="AC40" i="75"/>
  <c r="AC41" i="75"/>
  <c r="AC42" i="75"/>
  <c r="AC43" i="75"/>
  <c r="AC44" i="75"/>
  <c r="AC45" i="75"/>
  <c r="AC46" i="75"/>
  <c r="AC47" i="75"/>
  <c r="AC48" i="75"/>
  <c r="AC49" i="75"/>
  <c r="AC50" i="75"/>
  <c r="AC51" i="75"/>
  <c r="AC52" i="75"/>
  <c r="AC53" i="75"/>
  <c r="AC54" i="75"/>
  <c r="AC55" i="75"/>
  <c r="AC56" i="75"/>
  <c r="AC57" i="75"/>
  <c r="AC58" i="75"/>
  <c r="AC59" i="75"/>
  <c r="AC60" i="75"/>
  <c r="AC61" i="75"/>
  <c r="AC62" i="75"/>
  <c r="AC63" i="75"/>
  <c r="AC64" i="75"/>
  <c r="AC65" i="75"/>
  <c r="AC66" i="75"/>
  <c r="AC67" i="75"/>
  <c r="AC68" i="75"/>
  <c r="AC69" i="75"/>
  <c r="AC70" i="75"/>
  <c r="AC71" i="75"/>
  <c r="AC72" i="75"/>
  <c r="AC73" i="75"/>
  <c r="AC74" i="75"/>
  <c r="AC75" i="75"/>
  <c r="AC76" i="75"/>
  <c r="AC77" i="75"/>
  <c r="AC78" i="75"/>
  <c r="AC79" i="75"/>
  <c r="AC80" i="75"/>
  <c r="AC81" i="75"/>
  <c r="AC82" i="75"/>
  <c r="AC83" i="75"/>
  <c r="AC84" i="75"/>
  <c r="AC85" i="75"/>
  <c r="AC86" i="75"/>
  <c r="AC87" i="75"/>
  <c r="AC88" i="75"/>
  <c r="AC89" i="75"/>
  <c r="AC90" i="75"/>
  <c r="AC91" i="75"/>
  <c r="AC92" i="75"/>
  <c r="AC93" i="75"/>
  <c r="AC94" i="75"/>
  <c r="AC95" i="75"/>
  <c r="AC96" i="75"/>
  <c r="AC97" i="75"/>
  <c r="AC98" i="75"/>
  <c r="AC99" i="75"/>
  <c r="AC100" i="75"/>
  <c r="AC101" i="75"/>
  <c r="AC102" i="75"/>
  <c r="AC103" i="75"/>
  <c r="AC104" i="75"/>
  <c r="AC105" i="75"/>
  <c r="AC106" i="75"/>
  <c r="AC107" i="75"/>
  <c r="AC108" i="75"/>
  <c r="AC109" i="75"/>
  <c r="AC110" i="75"/>
  <c r="AC111" i="75"/>
  <c r="AC112" i="75"/>
  <c r="AC113" i="75"/>
  <c r="AC114" i="75"/>
  <c r="AC115" i="75"/>
  <c r="AC116" i="75"/>
  <c r="AC117" i="75"/>
  <c r="AC118" i="75"/>
  <c r="AC119" i="75"/>
  <c r="AC120" i="75"/>
  <c r="AC121" i="75"/>
  <c r="AC122" i="75"/>
  <c r="AC123" i="75"/>
  <c r="AC124" i="75"/>
  <c r="AC125" i="75"/>
  <c r="AC126" i="75"/>
  <c r="AC127" i="75"/>
  <c r="AC128" i="75"/>
  <c r="AC129" i="75"/>
  <c r="AC130" i="75"/>
  <c r="AC131" i="75"/>
  <c r="AC132" i="75"/>
  <c r="AC133" i="75"/>
  <c r="AC134" i="75"/>
  <c r="AC135" i="75"/>
  <c r="AC136" i="75"/>
  <c r="AC137" i="75"/>
  <c r="AC138" i="75"/>
  <c r="AC139" i="75"/>
  <c r="AC140" i="75"/>
  <c r="AC141" i="75"/>
  <c r="AC142" i="75"/>
  <c r="AC143" i="75"/>
  <c r="AC144" i="75"/>
  <c r="AC145" i="75"/>
  <c r="AC146" i="75"/>
  <c r="AC147" i="75"/>
  <c r="AC148" i="75"/>
  <c r="AC149" i="75"/>
  <c r="AC150" i="75"/>
  <c r="AC151" i="75"/>
  <c r="AC152" i="75"/>
  <c r="AC153" i="75"/>
  <c r="AC154" i="75"/>
  <c r="AC155" i="75"/>
  <c r="AC156" i="75"/>
  <c r="AC157" i="75"/>
  <c r="AC158" i="75"/>
  <c r="AC159" i="75"/>
  <c r="AC160" i="75"/>
  <c r="AC161" i="75"/>
  <c r="AC162" i="75"/>
  <c r="AC163" i="75"/>
  <c r="AC164" i="75"/>
  <c r="AC165" i="75"/>
  <c r="AC166" i="75"/>
  <c r="AC167" i="75"/>
  <c r="AC168" i="75"/>
  <c r="AC169" i="75"/>
  <c r="AC170" i="75"/>
  <c r="AC171" i="75"/>
  <c r="AC172" i="75"/>
  <c r="AC173" i="75"/>
  <c r="AC174" i="75"/>
  <c r="AC175" i="75"/>
  <c r="AC176" i="75"/>
  <c r="AC177" i="75"/>
  <c r="AC178" i="75"/>
  <c r="AC179" i="75"/>
  <c r="AC180" i="75"/>
  <c r="AC181" i="75"/>
  <c r="AC182" i="75"/>
  <c r="AC183" i="75"/>
  <c r="AC184" i="75"/>
  <c r="AC185" i="75"/>
  <c r="AC186" i="75"/>
  <c r="AC187" i="75"/>
  <c r="AC188" i="75"/>
  <c r="AC189" i="75"/>
  <c r="AC190" i="75"/>
  <c r="AC191" i="75"/>
  <c r="AC192" i="75"/>
  <c r="AC193" i="75"/>
  <c r="AC194" i="75"/>
  <c r="AC195" i="75"/>
  <c r="AC196" i="75"/>
  <c r="AC197" i="75"/>
  <c r="AC198" i="75"/>
  <c r="AC199" i="75"/>
  <c r="AC200" i="75"/>
  <c r="AC201" i="75"/>
  <c r="AC202" i="75"/>
  <c r="AC203" i="75"/>
  <c r="AC204" i="75"/>
  <c r="AC205" i="75"/>
  <c r="AC206" i="75"/>
  <c r="AC207" i="75"/>
  <c r="AC208" i="75"/>
  <c r="AC209" i="75"/>
  <c r="AC210" i="75"/>
  <c r="AC211" i="75"/>
  <c r="AC212" i="75"/>
  <c r="AC213" i="75"/>
  <c r="AC214" i="75"/>
  <c r="AC215" i="75"/>
  <c r="AC216" i="75"/>
  <c r="AC217" i="75"/>
  <c r="AC218" i="75"/>
  <c r="AC219" i="75"/>
  <c r="AC220" i="75"/>
  <c r="AC221" i="75"/>
  <c r="AC222" i="75"/>
  <c r="AC223" i="75"/>
  <c r="AC224" i="75"/>
  <c r="AC225" i="75"/>
  <c r="AC226" i="75"/>
  <c r="AC227" i="75"/>
  <c r="AC228" i="75"/>
  <c r="AC229" i="75"/>
  <c r="AC230" i="75"/>
  <c r="AC231" i="75"/>
  <c r="AC232" i="75"/>
  <c r="AC233" i="75"/>
  <c r="AC234" i="75"/>
  <c r="AC235" i="75"/>
  <c r="AC236" i="75"/>
  <c r="AC237" i="75"/>
  <c r="AC238" i="75"/>
  <c r="AC239" i="75"/>
  <c r="AC240" i="75"/>
  <c r="AC241" i="75"/>
  <c r="AC242" i="75"/>
  <c r="AC243" i="75"/>
  <c r="AC244" i="75"/>
  <c r="AC245" i="75"/>
  <c r="AC246" i="75"/>
  <c r="AC247" i="75"/>
  <c r="AC248" i="75"/>
  <c r="AC249" i="75"/>
  <c r="AC250" i="75"/>
  <c r="AC251" i="75"/>
  <c r="AC252" i="75"/>
  <c r="AC253" i="75"/>
  <c r="AC254" i="75"/>
  <c r="AC255" i="75"/>
  <c r="AC256" i="75"/>
  <c r="AC257" i="75"/>
  <c r="AC258" i="75"/>
  <c r="AC259" i="75"/>
  <c r="AC260" i="75"/>
  <c r="AC261" i="75"/>
  <c r="AC262" i="75"/>
  <c r="AC263" i="75"/>
  <c r="AC264" i="75"/>
  <c r="AC265" i="75"/>
  <c r="AC266" i="75"/>
  <c r="AC267" i="75"/>
  <c r="AC268" i="75"/>
  <c r="AC269" i="75"/>
  <c r="AC270" i="75"/>
  <c r="AC271" i="75"/>
  <c r="AC272" i="75"/>
  <c r="AC273" i="75"/>
  <c r="AC274" i="75"/>
  <c r="AC275" i="75"/>
  <c r="AC276" i="75"/>
  <c r="AC277" i="75"/>
  <c r="AC278" i="75"/>
  <c r="AC279" i="75"/>
  <c r="AC280" i="75"/>
  <c r="AC281" i="75"/>
  <c r="AC282" i="75"/>
  <c r="AC283" i="75"/>
  <c r="AC284" i="75"/>
  <c r="AC285" i="75"/>
  <c r="AC286" i="75"/>
  <c r="AC287" i="75"/>
  <c r="AC288" i="75"/>
  <c r="AC289" i="75"/>
  <c r="AC290" i="75"/>
  <c r="AC291" i="75"/>
  <c r="AC292" i="75"/>
  <c r="AC293" i="75"/>
  <c r="AC294" i="75"/>
  <c r="AC295" i="75"/>
  <c r="AC296" i="75"/>
  <c r="AC297" i="75"/>
  <c r="AC298" i="75"/>
  <c r="AC299" i="75"/>
  <c r="AC300" i="75"/>
  <c r="AC301" i="75"/>
  <c r="AC302" i="75"/>
  <c r="AC303" i="75"/>
  <c r="AC304" i="75"/>
  <c r="AC305" i="75"/>
  <c r="AC306" i="75"/>
  <c r="AC307" i="75"/>
  <c r="AC308" i="75"/>
  <c r="AC309" i="75"/>
  <c r="AC310" i="75"/>
  <c r="AC311" i="75"/>
  <c r="AC312" i="75"/>
  <c r="AC313" i="75"/>
  <c r="AC314" i="75"/>
  <c r="AC315" i="75"/>
  <c r="AC316" i="75"/>
  <c r="AC317" i="75"/>
  <c r="AC318" i="75"/>
  <c r="AC319" i="75"/>
  <c r="AC320" i="75"/>
  <c r="AC321" i="75"/>
  <c r="AC322" i="75"/>
  <c r="AC323" i="75"/>
  <c r="AC324" i="75"/>
  <c r="AC325" i="75"/>
  <c r="AC326" i="75"/>
  <c r="AC327" i="75"/>
  <c r="AC328" i="75"/>
  <c r="AC329" i="75"/>
  <c r="AC330" i="75"/>
  <c r="AC331" i="75"/>
  <c r="AC332" i="75"/>
  <c r="AC333" i="75"/>
  <c r="AC334" i="75"/>
  <c r="AC335" i="75"/>
  <c r="AC336" i="75"/>
  <c r="AC337" i="75"/>
  <c r="AC338" i="75"/>
  <c r="AC339" i="75"/>
  <c r="AC340" i="75"/>
  <c r="AC341" i="75"/>
  <c r="AC342" i="75"/>
  <c r="AC343" i="75"/>
  <c r="AC344" i="75"/>
  <c r="AC345" i="75"/>
  <c r="AC346" i="75"/>
  <c r="AC347" i="75"/>
  <c r="AC348" i="75"/>
  <c r="AC349" i="75"/>
  <c r="AC350" i="75"/>
  <c r="AC351" i="75"/>
  <c r="AC352" i="75"/>
  <c r="AC353" i="75"/>
  <c r="AC354" i="75"/>
  <c r="AC355" i="75"/>
  <c r="AC356" i="75"/>
  <c r="AC357" i="75"/>
  <c r="AC358" i="75"/>
  <c r="AC359" i="75"/>
  <c r="AC360" i="75"/>
  <c r="AC361" i="75"/>
  <c r="AC362" i="75"/>
  <c r="AC363" i="75"/>
  <c r="AC364" i="75"/>
  <c r="AC365" i="75"/>
  <c r="AC366" i="75"/>
  <c r="AC367" i="75"/>
  <c r="AC368" i="75"/>
  <c r="AC369" i="75"/>
  <c r="AC370" i="75"/>
  <c r="AC371" i="75"/>
  <c r="AC372" i="75"/>
  <c r="AC373" i="75"/>
  <c r="AC374" i="75"/>
  <c r="AC375" i="75"/>
  <c r="AC376" i="75"/>
  <c r="AC377" i="75"/>
  <c r="AC378" i="75"/>
  <c r="AC379" i="75"/>
  <c r="AC380" i="75"/>
  <c r="AC381" i="75"/>
  <c r="AC382" i="75"/>
  <c r="AC383" i="75"/>
  <c r="AC384" i="75"/>
  <c r="AC385" i="75"/>
  <c r="AC386" i="75"/>
  <c r="AC387" i="75"/>
  <c r="AC388" i="75"/>
  <c r="AC389" i="75"/>
  <c r="AC390" i="75"/>
  <c r="AC391" i="75"/>
  <c r="AC392" i="75"/>
  <c r="AC393" i="75"/>
  <c r="AC394" i="75"/>
  <c r="AC395" i="75"/>
  <c r="AC396" i="75"/>
  <c r="AC397" i="75"/>
  <c r="AC398" i="75"/>
  <c r="AC399" i="75"/>
  <c r="AC400" i="75"/>
  <c r="AC401" i="75"/>
  <c r="AC402" i="75"/>
  <c r="AC403" i="75"/>
  <c r="AC404" i="75"/>
  <c r="AC405" i="75"/>
  <c r="AC406" i="75"/>
  <c r="AC407" i="75"/>
  <c r="AC408" i="75"/>
  <c r="AC409" i="75"/>
  <c r="AC410" i="75"/>
  <c r="AC411" i="75"/>
  <c r="AC412" i="75"/>
  <c r="AC413" i="75"/>
  <c r="AC414" i="75"/>
  <c r="AC415" i="75"/>
  <c r="AC416" i="75"/>
  <c r="AC417" i="75"/>
  <c r="AC418" i="75"/>
  <c r="AC419" i="75"/>
  <c r="AC420" i="75"/>
  <c r="AC421" i="75"/>
  <c r="AC422" i="75"/>
  <c r="AC423" i="75"/>
  <c r="AC424" i="75"/>
  <c r="AC425" i="75"/>
  <c r="AC426" i="75"/>
  <c r="AC427" i="75"/>
  <c r="AC428" i="75"/>
  <c r="AC429" i="75"/>
  <c r="AC430" i="75"/>
  <c r="AC431" i="75"/>
  <c r="AC432" i="75"/>
  <c r="AC433" i="75"/>
  <c r="AC434" i="75"/>
  <c r="AC435" i="75"/>
  <c r="AC436" i="75"/>
  <c r="AC437" i="75"/>
  <c r="AC438" i="75"/>
  <c r="AC439" i="75"/>
  <c r="AC440" i="75"/>
  <c r="AC441" i="75"/>
  <c r="AC442" i="75"/>
  <c r="AC443" i="75"/>
  <c r="AC444" i="75"/>
  <c r="AC445" i="75"/>
  <c r="AC446" i="75"/>
  <c r="AC447" i="75"/>
  <c r="AC448" i="75"/>
  <c r="AC449" i="75"/>
  <c r="AC450" i="75"/>
  <c r="AC451" i="75"/>
  <c r="AC452" i="75"/>
  <c r="AC453" i="75"/>
  <c r="AC454" i="75"/>
  <c r="AC455" i="75"/>
  <c r="AC456" i="75"/>
  <c r="AC457" i="75"/>
  <c r="AC458" i="75"/>
  <c r="AC459" i="75"/>
  <c r="AC460" i="75"/>
  <c r="AC461" i="75"/>
  <c r="AC462" i="75"/>
  <c r="AC463" i="75"/>
  <c r="AC464" i="75"/>
  <c r="AC465" i="75"/>
  <c r="AC466" i="75"/>
  <c r="AC467" i="75"/>
  <c r="AC468" i="75"/>
  <c r="AC469" i="75"/>
  <c r="AC470" i="75"/>
  <c r="AC471" i="75"/>
  <c r="AC472" i="75"/>
  <c r="AC473" i="75"/>
  <c r="AC474" i="75"/>
  <c r="AC475" i="75"/>
  <c r="AC476" i="75"/>
  <c r="AC477" i="75"/>
  <c r="AC478" i="75"/>
  <c r="AC479" i="75"/>
  <c r="AC480" i="75"/>
  <c r="AC481" i="75"/>
  <c r="AC482" i="75"/>
  <c r="AC483" i="75"/>
  <c r="AC484" i="75"/>
  <c r="AC485" i="75"/>
  <c r="AC486" i="75"/>
  <c r="AC487" i="75"/>
  <c r="AC488" i="75"/>
  <c r="AC489" i="75"/>
  <c r="AC490" i="75"/>
  <c r="AC491" i="75"/>
  <c r="AC492" i="75"/>
  <c r="AC493" i="75"/>
  <c r="AC494" i="75"/>
  <c r="AC495" i="75"/>
  <c r="AC496" i="75"/>
  <c r="AC497" i="75"/>
  <c r="AC498" i="75"/>
  <c r="AC499" i="75"/>
  <c r="AC500" i="75"/>
  <c r="AC501" i="75"/>
  <c r="AC502" i="75"/>
  <c r="AC503" i="75"/>
  <c r="AC504" i="75"/>
  <c r="AC505" i="75"/>
  <c r="AC506" i="75"/>
  <c r="AC507" i="75"/>
  <c r="AC508" i="75"/>
  <c r="AC509" i="75"/>
  <c r="AC510" i="75"/>
  <c r="AC511" i="75"/>
  <c r="AC512" i="75"/>
  <c r="AC513" i="75"/>
  <c r="AC514" i="75"/>
  <c r="AC515" i="75"/>
  <c r="AC516" i="75"/>
  <c r="AC517" i="75"/>
  <c r="AC518" i="75"/>
  <c r="AC519" i="75"/>
  <c r="AC520" i="75"/>
  <c r="AC521" i="75"/>
  <c r="AC522" i="75"/>
  <c r="AC523" i="75"/>
  <c r="AC524" i="75"/>
  <c r="AC525" i="75"/>
  <c r="AC526" i="75"/>
  <c r="AC527" i="75"/>
  <c r="AC528" i="75"/>
  <c r="AC529" i="75"/>
  <c r="AC530" i="75"/>
  <c r="AC531" i="75"/>
  <c r="AC532" i="75"/>
  <c r="AC533" i="75"/>
  <c r="AC534" i="75"/>
  <c r="AC535" i="75"/>
  <c r="AC536" i="75"/>
  <c r="AC537" i="75"/>
  <c r="AC538" i="75"/>
  <c r="AC539" i="75"/>
  <c r="AC540" i="75"/>
  <c r="AC541" i="75"/>
  <c r="AC542" i="75"/>
  <c r="AC543" i="75"/>
  <c r="AC544" i="75"/>
  <c r="AC545" i="75"/>
  <c r="AC546" i="75"/>
  <c r="AC547" i="75"/>
  <c r="AC548" i="75"/>
  <c r="AC549" i="75"/>
  <c r="AC24" i="75"/>
  <c r="J74" i="73"/>
  <c r="I14" i="82"/>
  <c r="I15" i="82"/>
  <c r="I16" i="82"/>
  <c r="I17" i="82"/>
  <c r="I18" i="82"/>
  <c r="I19" i="82"/>
  <c r="I20" i="82"/>
  <c r="I21" i="82"/>
  <c r="I22" i="82"/>
  <c r="I23" i="82"/>
  <c r="I24" i="82"/>
  <c r="I25" i="82"/>
  <c r="I26" i="82"/>
  <c r="I27" i="82"/>
  <c r="I28" i="82"/>
  <c r="I29" i="82"/>
  <c r="I13" i="82"/>
  <c r="I14" i="87"/>
  <c r="I15" i="87"/>
  <c r="I16" i="87"/>
  <c r="I17" i="87"/>
  <c r="I18" i="87"/>
  <c r="I19" i="87"/>
  <c r="I20" i="87"/>
  <c r="I21" i="87"/>
  <c r="I22" i="87"/>
  <c r="I23" i="87"/>
  <c r="I24" i="87"/>
  <c r="I25" i="87"/>
  <c r="I26" i="87"/>
  <c r="I27" i="87"/>
  <c r="I28" i="87"/>
  <c r="I29" i="87"/>
  <c r="I30" i="87"/>
  <c r="I13" i="87"/>
  <c r="I14" i="92"/>
  <c r="I15" i="92"/>
  <c r="I16" i="92"/>
  <c r="I17" i="92"/>
  <c r="I18" i="92"/>
  <c r="I19" i="92"/>
  <c r="I20" i="92"/>
  <c r="I21" i="92"/>
  <c r="I22" i="92"/>
  <c r="I23" i="92"/>
  <c r="I24" i="92"/>
  <c r="I25" i="92"/>
  <c r="I26" i="92"/>
  <c r="I27" i="92"/>
  <c r="I28" i="92"/>
  <c r="I29" i="92"/>
  <c r="I30" i="92"/>
  <c r="I13" i="92"/>
  <c r="I14" i="97"/>
  <c r="I15" i="97"/>
  <c r="I16" i="97"/>
  <c r="I17" i="97"/>
  <c r="I18" i="97"/>
  <c r="I19" i="97"/>
  <c r="I20" i="97"/>
  <c r="I21" i="97"/>
  <c r="I22" i="97"/>
  <c r="I23" i="97"/>
  <c r="I24" i="97"/>
  <c r="I25" i="97"/>
  <c r="I26" i="97"/>
  <c r="I27" i="97"/>
  <c r="I28" i="97"/>
  <c r="I29" i="97"/>
  <c r="I30" i="97"/>
  <c r="I13" i="97"/>
  <c r="I14" i="102"/>
  <c r="I15" i="102"/>
  <c r="I16" i="102"/>
  <c r="I17" i="102"/>
  <c r="I18" i="102"/>
  <c r="I19" i="102"/>
  <c r="I20" i="102"/>
  <c r="I21" i="102"/>
  <c r="I22" i="102"/>
  <c r="I23" i="102"/>
  <c r="I24" i="102"/>
  <c r="I25" i="102"/>
  <c r="I26" i="102"/>
  <c r="I27" i="102"/>
  <c r="I28" i="102"/>
  <c r="I29" i="102"/>
  <c r="I30" i="102"/>
  <c r="I13" i="102"/>
  <c r="I14" i="62"/>
  <c r="I15" i="62"/>
  <c r="I16" i="62"/>
  <c r="I17" i="62"/>
  <c r="I18" i="62"/>
  <c r="I19" i="62"/>
  <c r="I20" i="62"/>
  <c r="I21" i="62"/>
  <c r="I22" i="62"/>
  <c r="I23" i="62"/>
  <c r="I24" i="62"/>
  <c r="I25" i="62"/>
  <c r="I26" i="62"/>
  <c r="I27" i="62"/>
  <c r="I28" i="62"/>
  <c r="I29" i="62"/>
  <c r="I30" i="62"/>
  <c r="I13" i="62"/>
  <c r="I14" i="57"/>
  <c r="I15" i="57"/>
  <c r="I16" i="57"/>
  <c r="I17" i="57"/>
  <c r="I18" i="57"/>
  <c r="I19" i="57"/>
  <c r="I20" i="57"/>
  <c r="I21" i="57"/>
  <c r="I22" i="57"/>
  <c r="I23" i="57"/>
  <c r="I24" i="57"/>
  <c r="I25" i="57"/>
  <c r="I26" i="57"/>
  <c r="I27" i="57"/>
  <c r="I28" i="57"/>
  <c r="I29" i="57"/>
  <c r="I30" i="57"/>
  <c r="I13" i="57"/>
  <c r="N121" i="74" l="1"/>
  <c r="M121" i="74"/>
  <c r="M122" i="74"/>
  <c r="N122" i="74"/>
  <c r="N56" i="74"/>
  <c r="M56" i="74"/>
  <c r="N55" i="74"/>
  <c r="M55" i="74"/>
  <c r="N52" i="74"/>
  <c r="M52" i="74"/>
  <c r="B362" i="106"/>
  <c r="I362" i="106" s="1"/>
  <c r="R361" i="106"/>
  <c r="B361" i="106" s="1"/>
  <c r="I361" i="106" s="1"/>
  <c r="R360" i="106"/>
  <c r="B360" i="106" s="1"/>
  <c r="I360" i="106" s="1"/>
  <c r="R359" i="106"/>
  <c r="B359" i="106"/>
  <c r="I359" i="106" s="1"/>
  <c r="R358" i="106"/>
  <c r="B358" i="106"/>
  <c r="I358" i="106" s="1"/>
  <c r="I357" i="106"/>
  <c r="B357" i="106"/>
  <c r="B356" i="106"/>
  <c r="I356" i="106" s="1"/>
  <c r="I355" i="106"/>
  <c r="B355" i="106"/>
  <c r="R354" i="106"/>
  <c r="I354" i="106"/>
  <c r="B354" i="106"/>
  <c r="B353" i="106"/>
  <c r="I353" i="106" s="1"/>
  <c r="B352" i="106"/>
  <c r="I352" i="106" s="1"/>
  <c r="B351" i="106"/>
  <c r="I351" i="106" s="1"/>
  <c r="B346" i="106"/>
  <c r="I340" i="106"/>
  <c r="B340" i="106"/>
  <c r="B339" i="106"/>
  <c r="I339" i="106" s="1"/>
  <c r="R338" i="106"/>
  <c r="B338" i="106" s="1"/>
  <c r="I338" i="106" s="1"/>
  <c r="R337" i="106"/>
  <c r="B337" i="106" s="1"/>
  <c r="I337" i="106" s="1"/>
  <c r="B336" i="106"/>
  <c r="I336" i="106" s="1"/>
  <c r="R335" i="106"/>
  <c r="B335" i="106" s="1"/>
  <c r="I335" i="106" s="1"/>
  <c r="B334" i="106"/>
  <c r="I334" i="106" s="1"/>
  <c r="B333" i="106"/>
  <c r="I333" i="106" s="1"/>
  <c r="B332" i="106"/>
  <c r="I332" i="106" s="1"/>
  <c r="R331" i="106"/>
  <c r="B331" i="106"/>
  <c r="I331" i="106" s="1"/>
  <c r="I330" i="106"/>
  <c r="B330" i="106"/>
  <c r="I329" i="106"/>
  <c r="B329" i="106"/>
  <c r="B324" i="106"/>
  <c r="B318" i="106"/>
  <c r="I318" i="106" s="1"/>
  <c r="B317" i="106"/>
  <c r="I317" i="106" s="1"/>
  <c r="B316" i="106"/>
  <c r="I316" i="106" s="1"/>
  <c r="B315" i="106"/>
  <c r="I315" i="106" s="1"/>
  <c r="B314" i="106"/>
  <c r="I314" i="106" s="1"/>
  <c r="B313" i="106"/>
  <c r="I313" i="106" s="1"/>
  <c r="B312" i="106"/>
  <c r="I312" i="106" s="1"/>
  <c r="B311" i="106"/>
  <c r="I311" i="106" s="1"/>
  <c r="I310" i="106"/>
  <c r="B310" i="106"/>
  <c r="B309" i="106"/>
  <c r="I309" i="106" s="1"/>
  <c r="B308" i="106"/>
  <c r="B303" i="106" s="1"/>
  <c r="R297" i="106"/>
  <c r="B297" i="106" s="1"/>
  <c r="I297" i="106" s="1"/>
  <c r="R296" i="106"/>
  <c r="B296" i="106" s="1"/>
  <c r="I296" i="106" s="1"/>
  <c r="B295" i="106"/>
  <c r="I295" i="106" s="1"/>
  <c r="P293" i="106"/>
  <c r="I293" i="106"/>
  <c r="P292" i="106"/>
  <c r="I292" i="106"/>
  <c r="S290" i="106"/>
  <c r="S291" i="106" s="1"/>
  <c r="T294" i="106" s="1"/>
  <c r="B294" i="106" s="1"/>
  <c r="I294" i="106" s="1"/>
  <c r="B287" i="106"/>
  <c r="R281" i="106"/>
  <c r="B281" i="106"/>
  <c r="I281" i="106" s="1"/>
  <c r="R280" i="106"/>
  <c r="B280" i="106" s="1"/>
  <c r="I280" i="106" s="1"/>
  <c r="R279" i="106"/>
  <c r="B279" i="106" s="1"/>
  <c r="I279" i="106" s="1"/>
  <c r="P278" i="106"/>
  <c r="B278" i="106" s="1"/>
  <c r="I278" i="106"/>
  <c r="I277" i="106"/>
  <c r="B277" i="106"/>
  <c r="I276" i="106"/>
  <c r="B276" i="106"/>
  <c r="B271" i="106" s="1"/>
  <c r="R265" i="106"/>
  <c r="B265" i="106" s="1"/>
  <c r="I265" i="106"/>
  <c r="R264" i="106"/>
  <c r="B264" i="106"/>
  <c r="I264" i="106" s="1"/>
  <c r="R263" i="106"/>
  <c r="B263" i="106"/>
  <c r="I263" i="106" s="1"/>
  <c r="R262" i="106"/>
  <c r="B262" i="106" s="1"/>
  <c r="I262" i="106" s="1"/>
  <c r="R261" i="106"/>
  <c r="I261" i="106"/>
  <c r="B261" i="106"/>
  <c r="B260" i="106"/>
  <c r="S248" i="106"/>
  <c r="I248" i="106"/>
  <c r="B248" i="106"/>
  <c r="S247" i="106"/>
  <c r="B247" i="106"/>
  <c r="B242" i="106" s="1"/>
  <c r="B235" i="106" s="1"/>
  <c r="I235" i="106" s="1"/>
  <c r="I236" i="106"/>
  <c r="B236" i="106"/>
  <c r="I233" i="106"/>
  <c r="B233" i="106"/>
  <c r="B228" i="106"/>
  <c r="R222" i="106"/>
  <c r="I222" i="106"/>
  <c r="B222" i="106"/>
  <c r="R221" i="106"/>
  <c r="B221" i="106"/>
  <c r="I221" i="106" s="1"/>
  <c r="R220" i="106"/>
  <c r="I220" i="106"/>
  <c r="B220" i="106"/>
  <c r="R219" i="106"/>
  <c r="B219" i="106" s="1"/>
  <c r="I219" i="106" s="1"/>
  <c r="B218" i="106"/>
  <c r="I218" i="106" s="1"/>
  <c r="B216" i="106"/>
  <c r="I216" i="106" s="1"/>
  <c r="R205" i="106"/>
  <c r="I205" i="106"/>
  <c r="B205" i="106"/>
  <c r="R204" i="106"/>
  <c r="I204" i="106"/>
  <c r="B204" i="106"/>
  <c r="I203" i="106"/>
  <c r="B203" i="106"/>
  <c r="P201" i="106"/>
  <c r="I201" i="106"/>
  <c r="P200" i="106"/>
  <c r="I200" i="106"/>
  <c r="S196" i="106"/>
  <c r="S197" i="106" s="1"/>
  <c r="T200" i="106" s="1"/>
  <c r="B202" i="106" s="1"/>
  <c r="I202" i="106" s="1"/>
  <c r="B195" i="106"/>
  <c r="R189" i="106"/>
  <c r="B189" i="106" s="1"/>
  <c r="I189" i="106" s="1"/>
  <c r="R188" i="106"/>
  <c r="B188" i="106" s="1"/>
  <c r="I188" i="106" s="1"/>
  <c r="R187" i="106"/>
  <c r="I187" i="106"/>
  <c r="B187" i="106"/>
  <c r="P186" i="106"/>
  <c r="I186" i="106"/>
  <c r="B186" i="106"/>
  <c r="I185" i="106"/>
  <c r="I184" i="106"/>
  <c r="B179" i="106"/>
  <c r="R173" i="106"/>
  <c r="B173" i="106" s="1"/>
  <c r="I173" i="106" s="1"/>
  <c r="R172" i="106"/>
  <c r="B172" i="106" s="1"/>
  <c r="I172" i="106" s="1"/>
  <c r="R171" i="106"/>
  <c r="B171" i="106"/>
  <c r="I171" i="106" s="1"/>
  <c r="R170" i="106"/>
  <c r="B170" i="106" s="1"/>
  <c r="I170" i="106" s="1"/>
  <c r="R169" i="106"/>
  <c r="B169" i="106" s="1"/>
  <c r="I169" i="106" s="1"/>
  <c r="B168" i="106"/>
  <c r="I168" i="106" s="1"/>
  <c r="I167" i="106"/>
  <c r="B167" i="106"/>
  <c r="B162" i="106"/>
  <c r="I156" i="106"/>
  <c r="B156" i="106"/>
  <c r="R155" i="106"/>
  <c r="B155" i="106"/>
  <c r="I155" i="106" s="1"/>
  <c r="I154" i="106"/>
  <c r="B154" i="106"/>
  <c r="B153" i="106"/>
  <c r="I153" i="106" s="1"/>
  <c r="I152" i="106"/>
  <c r="B152" i="106"/>
  <c r="B147" i="106"/>
  <c r="R141" i="106"/>
  <c r="B141" i="106" s="1"/>
  <c r="I141" i="106"/>
  <c r="R140" i="106"/>
  <c r="B140" i="106" s="1"/>
  <c r="I140" i="106" s="1"/>
  <c r="B139" i="106"/>
  <c r="I139" i="106" s="1"/>
  <c r="B138" i="106"/>
  <c r="B133" i="106" s="1"/>
  <c r="B109" i="106" s="1"/>
  <c r="I109" i="106" s="1"/>
  <c r="R127" i="106"/>
  <c r="B127" i="106" s="1"/>
  <c r="I127" i="106" s="1"/>
  <c r="R126" i="106"/>
  <c r="B126" i="106"/>
  <c r="I126" i="106" s="1"/>
  <c r="R125" i="106"/>
  <c r="B125" i="106" s="1"/>
  <c r="I125" i="106" s="1"/>
  <c r="R124" i="106"/>
  <c r="B124" i="106" s="1"/>
  <c r="I124" i="106" s="1"/>
  <c r="R112" i="106"/>
  <c r="B112" i="106"/>
  <c r="I112" i="106" s="1"/>
  <c r="I111" i="106"/>
  <c r="Q108" i="106"/>
  <c r="R110" i="106" s="1"/>
  <c r="B110" i="106" s="1"/>
  <c r="I110" i="106" s="1"/>
  <c r="R97" i="106"/>
  <c r="B97" i="106" s="1"/>
  <c r="I97" i="106" s="1"/>
  <c r="I84" i="106"/>
  <c r="I83" i="106"/>
  <c r="I82" i="106"/>
  <c r="B77" i="106"/>
  <c r="R71" i="106"/>
  <c r="B71" i="106" s="1"/>
  <c r="I71" i="106"/>
  <c r="B69" i="106"/>
  <c r="I69" i="106" s="1"/>
  <c r="R57" i="106"/>
  <c r="B57" i="106" s="1"/>
  <c r="I57" i="106" s="1"/>
  <c r="R56" i="106"/>
  <c r="B56" i="106" s="1"/>
  <c r="I56" i="106" s="1"/>
  <c r="R55" i="106"/>
  <c r="I55" i="106"/>
  <c r="B55" i="106"/>
  <c r="B50" i="106" s="1"/>
  <c r="R44" i="106"/>
  <c r="I44" i="106"/>
  <c r="B44" i="106"/>
  <c r="B42" i="106"/>
  <c r="I42" i="106" s="1"/>
  <c r="R30" i="106"/>
  <c r="B30" i="106" s="1"/>
  <c r="I30" i="106" s="1"/>
  <c r="R29" i="106"/>
  <c r="B29" i="106"/>
  <c r="I29" i="106" s="1"/>
  <c r="R28" i="106"/>
  <c r="B28" i="106"/>
  <c r="I28" i="106" s="1"/>
  <c r="I27" i="106"/>
  <c r="B27" i="106"/>
  <c r="R15" i="106"/>
  <c r="I15" i="106"/>
  <c r="B15" i="106"/>
  <c r="J57" i="105"/>
  <c r="B57" i="105"/>
  <c r="B56" i="105"/>
  <c r="J56" i="105" s="1"/>
  <c r="J55" i="105"/>
  <c r="B55" i="105"/>
  <c r="S54" i="105"/>
  <c r="B54" i="105"/>
  <c r="J54" i="105" s="1"/>
  <c r="S53" i="105"/>
  <c r="B53" i="105" s="1"/>
  <c r="J53" i="105" s="1"/>
  <c r="S52" i="105"/>
  <c r="B52" i="105" s="1"/>
  <c r="J52" i="105"/>
  <c r="B51" i="105"/>
  <c r="J51" i="105" s="1"/>
  <c r="S50" i="105"/>
  <c r="B50" i="105" s="1"/>
  <c r="J50" i="105" s="1"/>
  <c r="J49" i="105"/>
  <c r="B49" i="105"/>
  <c r="B48" i="105"/>
  <c r="J48" i="105" s="1"/>
  <c r="B43" i="105"/>
  <c r="B12" i="105" s="1"/>
  <c r="J12" i="105" s="1"/>
  <c r="S37" i="105"/>
  <c r="B37" i="105" s="1"/>
  <c r="J37" i="105" s="1"/>
  <c r="S36" i="105"/>
  <c r="S35" i="105"/>
  <c r="B35" i="105" s="1"/>
  <c r="J35" i="105" s="1"/>
  <c r="J33" i="105"/>
  <c r="B33" i="105"/>
  <c r="S32" i="105"/>
  <c r="B32" i="105"/>
  <c r="J32" i="105" s="1"/>
  <c r="J31" i="105"/>
  <c r="B31" i="105"/>
  <c r="B30" i="105"/>
  <c r="J30" i="105" s="1"/>
  <c r="B19" i="105"/>
  <c r="S18" i="105"/>
  <c r="B18" i="105"/>
  <c r="J18" i="105" s="1"/>
  <c r="J17" i="105"/>
  <c r="B17" i="105"/>
  <c r="S16" i="105"/>
  <c r="B16" i="105"/>
  <c r="J16" i="105" s="1"/>
  <c r="B15" i="105"/>
  <c r="J15" i="105" s="1"/>
  <c r="J14" i="105"/>
  <c r="B14" i="105"/>
  <c r="B9" i="105"/>
  <c r="B7" i="105"/>
  <c r="B24" i="102" s="1"/>
  <c r="I47" i="104"/>
  <c r="I46" i="104"/>
  <c r="I45" i="104"/>
  <c r="B45" i="104"/>
  <c r="B40" i="104" s="1"/>
  <c r="R34" i="104"/>
  <c r="B34" i="104"/>
  <c r="I34" i="104" s="1"/>
  <c r="R33" i="104"/>
  <c r="B33" i="104"/>
  <c r="I33" i="104" s="1"/>
  <c r="R32" i="104"/>
  <c r="B32" i="104" s="1"/>
  <c r="I32" i="104" s="1"/>
  <c r="R31" i="104"/>
  <c r="B31" i="104" s="1"/>
  <c r="I31" i="104" s="1"/>
  <c r="B30" i="104"/>
  <c r="I30" i="104" s="1"/>
  <c r="I29" i="104"/>
  <c r="P28" i="104"/>
  <c r="I28" i="104"/>
  <c r="B23" i="104"/>
  <c r="Q17" i="104"/>
  <c r="B17" i="104" s="1"/>
  <c r="I17" i="104" s="1"/>
  <c r="Q16" i="104"/>
  <c r="B16" i="104" s="1"/>
  <c r="I16" i="104" s="1"/>
  <c r="Q15" i="104"/>
  <c r="B15" i="104" s="1"/>
  <c r="I15" i="104" s="1"/>
  <c r="B13" i="104"/>
  <c r="P13" i="104" s="1"/>
  <c r="T12" i="104"/>
  <c r="U15" i="104" s="1"/>
  <c r="B14" i="104" s="1"/>
  <c r="I14" i="104" s="1"/>
  <c r="B12" i="104"/>
  <c r="B7" i="104" s="1"/>
  <c r="T11" i="104"/>
  <c r="I104" i="103"/>
  <c r="I103" i="103"/>
  <c r="I102" i="103"/>
  <c r="B101" i="103"/>
  <c r="I89" i="103"/>
  <c r="I88" i="103"/>
  <c r="I87" i="103"/>
  <c r="I86" i="103"/>
  <c r="B81" i="103"/>
  <c r="I75" i="103"/>
  <c r="I74" i="103"/>
  <c r="I73" i="103"/>
  <c r="B68" i="103"/>
  <c r="B43" i="103" s="1"/>
  <c r="I43" i="103" s="1"/>
  <c r="I62" i="103"/>
  <c r="B62" i="103"/>
  <c r="B61" i="103"/>
  <c r="I61" i="103" s="1"/>
  <c r="R60" i="103"/>
  <c r="B60" i="103" s="1"/>
  <c r="I60" i="103" s="1"/>
  <c r="I59" i="103"/>
  <c r="B59" i="103"/>
  <c r="B54" i="103" s="1"/>
  <c r="R48" i="103"/>
  <c r="I48" i="103"/>
  <c r="B48" i="103"/>
  <c r="B47" i="103"/>
  <c r="I47" i="103" s="1"/>
  <c r="R46" i="103"/>
  <c r="B46" i="103" s="1"/>
  <c r="I46" i="103" s="1"/>
  <c r="R45" i="103"/>
  <c r="I45" i="103"/>
  <c r="B45" i="103"/>
  <c r="B44" i="103"/>
  <c r="I44" i="103" s="1"/>
  <c r="I42" i="103"/>
  <c r="B37" i="103"/>
  <c r="T36" i="103"/>
  <c r="O36" i="103"/>
  <c r="AB17" i="102" s="1"/>
  <c r="Z17" i="102" s="1"/>
  <c r="B17" i="102" s="1"/>
  <c r="R31" i="103"/>
  <c r="B31" i="103"/>
  <c r="I31" i="103" s="1"/>
  <c r="I30" i="103"/>
  <c r="B30" i="103"/>
  <c r="R29" i="103"/>
  <c r="I29" i="103"/>
  <c r="B29" i="103"/>
  <c r="I28" i="103"/>
  <c r="B23" i="103"/>
  <c r="Q17" i="103"/>
  <c r="B17" i="103" s="1"/>
  <c r="I17" i="103" s="1"/>
  <c r="Q16" i="103"/>
  <c r="B16" i="103"/>
  <c r="I16" i="103" s="1"/>
  <c r="B15" i="103"/>
  <c r="I15" i="103" s="1"/>
  <c r="I14" i="103"/>
  <c r="Q13" i="103"/>
  <c r="O13" i="103"/>
  <c r="B13" i="103"/>
  <c r="I13" i="103" s="1"/>
  <c r="I12" i="103"/>
  <c r="B7" i="103"/>
  <c r="B28" i="102"/>
  <c r="Z27" i="102"/>
  <c r="B27" i="102" s="1"/>
  <c r="Z26" i="102"/>
  <c r="B26" i="102"/>
  <c r="Z25" i="102"/>
  <c r="B25" i="102" s="1"/>
  <c r="Z24" i="102"/>
  <c r="Z23" i="102"/>
  <c r="B23" i="102" s="1"/>
  <c r="Z22" i="102"/>
  <c r="B22" i="102"/>
  <c r="Z21" i="102"/>
  <c r="B21" i="102" s="1"/>
  <c r="Z20" i="102"/>
  <c r="B20" i="102"/>
  <c r="Z19" i="102"/>
  <c r="B19" i="102" s="1"/>
  <c r="Z18" i="102"/>
  <c r="B18" i="102"/>
  <c r="Z16" i="102"/>
  <c r="B16" i="102" s="1"/>
  <c r="B12" i="106" s="1"/>
  <c r="B7" i="106" s="1"/>
  <c r="Z15" i="102"/>
  <c r="B15" i="102"/>
  <c r="Z14" i="102"/>
  <c r="B14" i="102"/>
  <c r="Z13" i="102"/>
  <c r="B13" i="102"/>
  <c r="N1" i="102"/>
  <c r="B362" i="101"/>
  <c r="I362" i="101" s="1"/>
  <c r="R361" i="101"/>
  <c r="B361" i="101"/>
  <c r="I361" i="101" s="1"/>
  <c r="R360" i="101"/>
  <c r="B360" i="101"/>
  <c r="I360" i="101" s="1"/>
  <c r="R359" i="101"/>
  <c r="B359" i="101" s="1"/>
  <c r="I359" i="101" s="1"/>
  <c r="R358" i="101"/>
  <c r="B358" i="101" s="1"/>
  <c r="I358" i="101"/>
  <c r="B357" i="101"/>
  <c r="I357" i="101" s="1"/>
  <c r="B356" i="101"/>
  <c r="I356" i="101" s="1"/>
  <c r="B355" i="101"/>
  <c r="I355" i="101" s="1"/>
  <c r="R354" i="101"/>
  <c r="B354" i="101" s="1"/>
  <c r="I354" i="101" s="1"/>
  <c r="I353" i="101"/>
  <c r="B353" i="101"/>
  <c r="B352" i="101"/>
  <c r="I352" i="101" s="1"/>
  <c r="I351" i="101"/>
  <c r="B351" i="101"/>
  <c r="B346" i="101" s="1"/>
  <c r="B340" i="101"/>
  <c r="I340" i="101" s="1"/>
  <c r="B339" i="101"/>
  <c r="I339" i="101" s="1"/>
  <c r="R338" i="101"/>
  <c r="I338" i="101"/>
  <c r="B338" i="101"/>
  <c r="R337" i="101"/>
  <c r="B337" i="101"/>
  <c r="I337" i="101" s="1"/>
  <c r="B336" i="101"/>
  <c r="I336" i="101" s="1"/>
  <c r="R335" i="101"/>
  <c r="B335" i="101"/>
  <c r="I335" i="101" s="1"/>
  <c r="B334" i="101"/>
  <c r="I334" i="101" s="1"/>
  <c r="I333" i="101"/>
  <c r="B333" i="101"/>
  <c r="B332" i="101"/>
  <c r="I332" i="101" s="1"/>
  <c r="R331" i="101"/>
  <c r="B331" i="101" s="1"/>
  <c r="I331" i="101" s="1"/>
  <c r="B330" i="101"/>
  <c r="I330" i="101" s="1"/>
  <c r="B329" i="101"/>
  <c r="I329" i="101" s="1"/>
  <c r="I318" i="101"/>
  <c r="B318" i="101"/>
  <c r="B317" i="101"/>
  <c r="I317" i="101" s="1"/>
  <c r="I316" i="101"/>
  <c r="B316" i="101"/>
  <c r="B315" i="101"/>
  <c r="I315" i="101" s="1"/>
  <c r="B314" i="101"/>
  <c r="I314" i="101" s="1"/>
  <c r="B313" i="101"/>
  <c r="I313" i="101" s="1"/>
  <c r="I312" i="101"/>
  <c r="B312" i="101"/>
  <c r="B311" i="101"/>
  <c r="I311" i="101" s="1"/>
  <c r="I310" i="101"/>
  <c r="B310" i="101"/>
  <c r="B309" i="101"/>
  <c r="I309" i="101" s="1"/>
  <c r="I308" i="101"/>
  <c r="B308" i="101"/>
  <c r="B303" i="101" s="1"/>
  <c r="R297" i="101"/>
  <c r="B297" i="101"/>
  <c r="I297" i="101" s="1"/>
  <c r="R296" i="101"/>
  <c r="B296" i="101"/>
  <c r="I296" i="101" s="1"/>
  <c r="I295" i="101"/>
  <c r="B295" i="101"/>
  <c r="P293" i="101"/>
  <c r="I293" i="101"/>
  <c r="P292" i="101"/>
  <c r="I292" i="101"/>
  <c r="S290" i="101"/>
  <c r="S291" i="101" s="1"/>
  <c r="T294" i="101" s="1"/>
  <c r="B294" i="101" s="1"/>
  <c r="I294" i="101" s="1"/>
  <c r="B287" i="101"/>
  <c r="R281" i="101"/>
  <c r="B281" i="101" s="1"/>
  <c r="I281" i="101" s="1"/>
  <c r="R280" i="101"/>
  <c r="B280" i="101" s="1"/>
  <c r="I280" i="101" s="1"/>
  <c r="R279" i="101"/>
  <c r="I279" i="101"/>
  <c r="B279" i="101"/>
  <c r="P278" i="101"/>
  <c r="B278" i="101"/>
  <c r="I278" i="101" s="1"/>
  <c r="B277" i="101"/>
  <c r="I277" i="101" s="1"/>
  <c r="B276" i="101"/>
  <c r="I276" i="101" s="1"/>
  <c r="R265" i="101"/>
  <c r="B265" i="101"/>
  <c r="I265" i="101" s="1"/>
  <c r="R264" i="101"/>
  <c r="B264" i="101" s="1"/>
  <c r="I264" i="101" s="1"/>
  <c r="R263" i="101"/>
  <c r="B263" i="101" s="1"/>
  <c r="I263" i="101"/>
  <c r="R262" i="101"/>
  <c r="B262" i="101" s="1"/>
  <c r="I262" i="101" s="1"/>
  <c r="R261" i="101"/>
  <c r="B261" i="101"/>
  <c r="I261" i="101" s="1"/>
  <c r="I260" i="101"/>
  <c r="B260" i="101"/>
  <c r="B259" i="101"/>
  <c r="S248" i="101"/>
  <c r="B248" i="101"/>
  <c r="I248" i="101" s="1"/>
  <c r="S247" i="101"/>
  <c r="B247" i="101" s="1"/>
  <c r="I247" i="101" s="1"/>
  <c r="B236" i="101"/>
  <c r="I236" i="101" s="1"/>
  <c r="R222" i="101"/>
  <c r="B222" i="101"/>
  <c r="I222" i="101" s="1"/>
  <c r="R221" i="101"/>
  <c r="B221" i="101" s="1"/>
  <c r="I221" i="101" s="1"/>
  <c r="R220" i="101"/>
  <c r="B220" i="101" s="1"/>
  <c r="I220" i="101" s="1"/>
  <c r="R219" i="101"/>
  <c r="I219" i="101"/>
  <c r="B219" i="101"/>
  <c r="B218" i="101"/>
  <c r="I218" i="101" s="1"/>
  <c r="I217" i="101"/>
  <c r="B217" i="101"/>
  <c r="B216" i="101"/>
  <c r="I216" i="101" s="1"/>
  <c r="B211" i="101"/>
  <c r="R205" i="101"/>
  <c r="B205" i="101" s="1"/>
  <c r="I205" i="101" s="1"/>
  <c r="R204" i="101"/>
  <c r="B204" i="101" s="1"/>
  <c r="I204" i="101" s="1"/>
  <c r="B203" i="101"/>
  <c r="I203" i="101" s="1"/>
  <c r="I201" i="101"/>
  <c r="S200" i="101"/>
  <c r="B202" i="101" s="1"/>
  <c r="I202" i="101" s="1"/>
  <c r="I200" i="101"/>
  <c r="R196" i="101"/>
  <c r="R197" i="101" s="1"/>
  <c r="B195" i="101"/>
  <c r="R189" i="101"/>
  <c r="B189" i="101" s="1"/>
  <c r="I189" i="101" s="1"/>
  <c r="R188" i="101"/>
  <c r="B188" i="101" s="1"/>
  <c r="I188" i="101" s="1"/>
  <c r="R187" i="101"/>
  <c r="B187" i="101"/>
  <c r="I187" i="101" s="1"/>
  <c r="P186" i="101"/>
  <c r="B186" i="101"/>
  <c r="I186" i="101" s="1"/>
  <c r="I185" i="101"/>
  <c r="B185" i="101"/>
  <c r="B184" i="101"/>
  <c r="I184" i="101" s="1"/>
  <c r="R173" i="101"/>
  <c r="B173" i="101"/>
  <c r="I173" i="101" s="1"/>
  <c r="R172" i="101"/>
  <c r="B172" i="101" s="1"/>
  <c r="I172" i="101" s="1"/>
  <c r="R171" i="101"/>
  <c r="B171" i="101" s="1"/>
  <c r="I171" i="101" s="1"/>
  <c r="R170" i="101"/>
  <c r="I170" i="101"/>
  <c r="B170" i="101"/>
  <c r="R169" i="101"/>
  <c r="B169" i="101"/>
  <c r="I169" i="101" s="1"/>
  <c r="I168" i="101"/>
  <c r="B168" i="101"/>
  <c r="B167" i="101"/>
  <c r="B156" i="101"/>
  <c r="I156" i="101" s="1"/>
  <c r="R155" i="101"/>
  <c r="I155" i="101"/>
  <c r="B155" i="101"/>
  <c r="B154" i="101"/>
  <c r="I154" i="101" s="1"/>
  <c r="I153" i="101"/>
  <c r="B153" i="101"/>
  <c r="B152" i="101"/>
  <c r="B147" i="101"/>
  <c r="R141" i="101"/>
  <c r="B141" i="101"/>
  <c r="I141" i="101" s="1"/>
  <c r="R140" i="101"/>
  <c r="B140" i="101" s="1"/>
  <c r="I140" i="101" s="1"/>
  <c r="P139" i="101"/>
  <c r="B139" i="101" s="1"/>
  <c r="I139" i="101" s="1"/>
  <c r="R127" i="101"/>
  <c r="I127" i="101"/>
  <c r="B127" i="101"/>
  <c r="R126" i="101"/>
  <c r="B126" i="101"/>
  <c r="I126" i="101" s="1"/>
  <c r="R125" i="101"/>
  <c r="B125" i="101" s="1"/>
  <c r="I125" i="101" s="1"/>
  <c r="R124" i="101"/>
  <c r="B124" i="101" s="1"/>
  <c r="I124" i="101" s="1"/>
  <c r="I123" i="101"/>
  <c r="R112" i="101"/>
  <c r="B112" i="101" s="1"/>
  <c r="I112" i="101" s="1"/>
  <c r="I111" i="101"/>
  <c r="R110" i="101"/>
  <c r="B110" i="101" s="1"/>
  <c r="I110" i="101"/>
  <c r="Q109" i="101"/>
  <c r="I108" i="101"/>
  <c r="R97" i="101"/>
  <c r="I97" i="101"/>
  <c r="B97" i="101"/>
  <c r="I96" i="101"/>
  <c r="I95" i="101"/>
  <c r="I84" i="101"/>
  <c r="I83" i="101"/>
  <c r="I82" i="101"/>
  <c r="B77" i="101"/>
  <c r="R71" i="101"/>
  <c r="B71" i="101" s="1"/>
  <c r="I71" i="101" s="1"/>
  <c r="I70" i="101"/>
  <c r="I69" i="101"/>
  <c r="B69" i="101"/>
  <c r="I68" i="101"/>
  <c r="R57" i="101"/>
  <c r="B57" i="101"/>
  <c r="I57" i="101" s="1"/>
  <c r="R56" i="101"/>
  <c r="B56" i="101"/>
  <c r="I56" i="101" s="1"/>
  <c r="R55" i="101"/>
  <c r="I55" i="101"/>
  <c r="B50" i="101"/>
  <c r="R44" i="101"/>
  <c r="B44" i="101" s="1"/>
  <c r="I44" i="101" s="1"/>
  <c r="I43" i="101"/>
  <c r="I42" i="101"/>
  <c r="B42" i="101"/>
  <c r="I41" i="101"/>
  <c r="R30" i="101"/>
  <c r="I30" i="101"/>
  <c r="B30" i="101"/>
  <c r="R29" i="101"/>
  <c r="B29" i="101"/>
  <c r="I29" i="101" s="1"/>
  <c r="R28" i="101"/>
  <c r="B28" i="101"/>
  <c r="I28" i="101" s="1"/>
  <c r="I27" i="101"/>
  <c r="I26" i="101"/>
  <c r="R15" i="101"/>
  <c r="B15" i="101"/>
  <c r="I15" i="101" s="1"/>
  <c r="I14" i="101"/>
  <c r="I13" i="101"/>
  <c r="J57" i="100"/>
  <c r="B57" i="100"/>
  <c r="B56" i="100"/>
  <c r="J56" i="100" s="1"/>
  <c r="B55" i="100"/>
  <c r="J55" i="100" s="1"/>
  <c r="S54" i="100"/>
  <c r="B54" i="100"/>
  <c r="J54" i="100" s="1"/>
  <c r="S53" i="100"/>
  <c r="B53" i="100"/>
  <c r="J53" i="100" s="1"/>
  <c r="S52" i="100"/>
  <c r="B52" i="100"/>
  <c r="J52" i="100" s="1"/>
  <c r="B51" i="100"/>
  <c r="J51" i="100" s="1"/>
  <c r="S50" i="100"/>
  <c r="B50" i="100"/>
  <c r="J50" i="100" s="1"/>
  <c r="J49" i="100"/>
  <c r="B49" i="100"/>
  <c r="B48" i="100"/>
  <c r="J48" i="100" s="1"/>
  <c r="B43" i="100"/>
  <c r="B12" i="100" s="1"/>
  <c r="S37" i="100"/>
  <c r="B37" i="100"/>
  <c r="J37" i="100" s="1"/>
  <c r="S36" i="100"/>
  <c r="B36" i="100"/>
  <c r="J36" i="100" s="1"/>
  <c r="S35" i="100"/>
  <c r="B35" i="100" s="1"/>
  <c r="J35" i="100"/>
  <c r="B34" i="100"/>
  <c r="J34" i="100" s="1"/>
  <c r="J33" i="100"/>
  <c r="B33" i="100"/>
  <c r="S32" i="100"/>
  <c r="B32" i="100"/>
  <c r="J32" i="100" s="1"/>
  <c r="J31" i="100"/>
  <c r="B31" i="100"/>
  <c r="J30" i="100"/>
  <c r="B30" i="100"/>
  <c r="J29" i="100"/>
  <c r="B19" i="100"/>
  <c r="S18" i="100"/>
  <c r="B18" i="100" s="1"/>
  <c r="J18" i="100"/>
  <c r="B17" i="100"/>
  <c r="J17" i="100" s="1"/>
  <c r="S16" i="100"/>
  <c r="B16" i="100"/>
  <c r="J16" i="100" s="1"/>
  <c r="J15" i="100"/>
  <c r="B15" i="100"/>
  <c r="J14" i="100"/>
  <c r="B14" i="100"/>
  <c r="J13" i="100"/>
  <c r="B9" i="100"/>
  <c r="I47" i="99"/>
  <c r="I46" i="99"/>
  <c r="B45" i="99"/>
  <c r="R34" i="99"/>
  <c r="B34" i="99"/>
  <c r="I34" i="99" s="1"/>
  <c r="R33" i="99"/>
  <c r="B33" i="99" s="1"/>
  <c r="I33" i="99" s="1"/>
  <c r="R32" i="99"/>
  <c r="B32" i="99" s="1"/>
  <c r="I32" i="99" s="1"/>
  <c r="R31" i="99"/>
  <c r="B31" i="99"/>
  <c r="I31" i="99" s="1"/>
  <c r="I30" i="99"/>
  <c r="B30" i="99"/>
  <c r="I29" i="99"/>
  <c r="P28" i="99"/>
  <c r="I28" i="99"/>
  <c r="B23" i="99"/>
  <c r="Q17" i="99"/>
  <c r="B17" i="99" s="1"/>
  <c r="I17" i="99"/>
  <c r="Q16" i="99"/>
  <c r="I16" i="99"/>
  <c r="B16" i="99"/>
  <c r="Q15" i="99"/>
  <c r="B15" i="99"/>
  <c r="I15" i="99" s="1"/>
  <c r="P13" i="99"/>
  <c r="I13" i="99"/>
  <c r="B13" i="99"/>
  <c r="I12" i="99"/>
  <c r="S9" i="99"/>
  <c r="S10" i="99" s="1"/>
  <c r="T13" i="99" s="1"/>
  <c r="B14" i="99" s="1"/>
  <c r="I14" i="99" s="1"/>
  <c r="B7" i="99"/>
  <c r="I104" i="98"/>
  <c r="I103" i="98"/>
  <c r="I102" i="98"/>
  <c r="B101" i="98"/>
  <c r="I101" i="98" s="1"/>
  <c r="B100" i="98"/>
  <c r="B95" i="98" s="1"/>
  <c r="I89" i="98"/>
  <c r="I88" i="98"/>
  <c r="I87" i="98"/>
  <c r="I86" i="98"/>
  <c r="B81" i="98"/>
  <c r="I75" i="98"/>
  <c r="I74" i="98"/>
  <c r="I73" i="98"/>
  <c r="B68" i="98"/>
  <c r="B217" i="106" s="1"/>
  <c r="I217" i="106" s="1"/>
  <c r="R62" i="98"/>
  <c r="B62" i="98" s="1"/>
  <c r="I62" i="98" s="1"/>
  <c r="B61" i="98"/>
  <c r="I61" i="98" s="1"/>
  <c r="R60" i="98"/>
  <c r="B60" i="98" s="1"/>
  <c r="I60" i="98" s="1"/>
  <c r="I59" i="98"/>
  <c r="B59" i="98"/>
  <c r="B54" i="98" s="1"/>
  <c r="R48" i="98"/>
  <c r="B48" i="98"/>
  <c r="I48" i="98" s="1"/>
  <c r="B47" i="98"/>
  <c r="I47" i="98" s="1"/>
  <c r="R46" i="98"/>
  <c r="B46" i="98" s="1"/>
  <c r="I46" i="98" s="1"/>
  <c r="R45" i="98"/>
  <c r="I45" i="98"/>
  <c r="B45" i="98"/>
  <c r="B44" i="98"/>
  <c r="I44" i="98" s="1"/>
  <c r="R43" i="98"/>
  <c r="B42" i="98"/>
  <c r="B37" i="98" s="1"/>
  <c r="T36" i="98"/>
  <c r="R31" i="98"/>
  <c r="I31" i="98"/>
  <c r="B31" i="98"/>
  <c r="B30" i="98"/>
  <c r="I30" i="98" s="1"/>
  <c r="R29" i="98"/>
  <c r="B29" i="98" s="1"/>
  <c r="I29" i="98"/>
  <c r="I28" i="98"/>
  <c r="B23" i="98"/>
  <c r="Q17" i="98"/>
  <c r="B17" i="98"/>
  <c r="I17" i="98" s="1"/>
  <c r="Q16" i="98"/>
  <c r="B16" i="98" s="1"/>
  <c r="I16" i="98" s="1"/>
  <c r="B15" i="98"/>
  <c r="I15" i="98" s="1"/>
  <c r="I14" i="98"/>
  <c r="O13" i="98"/>
  <c r="Q13" i="98" s="1"/>
  <c r="B13" i="98" s="1"/>
  <c r="I13" i="98" s="1"/>
  <c r="I12" i="98"/>
  <c r="B7" i="98"/>
  <c r="B28" i="97"/>
  <c r="Z27" i="97"/>
  <c r="B27" i="97"/>
  <c r="Z26" i="97"/>
  <c r="B26" i="97" s="1"/>
  <c r="Z25" i="97"/>
  <c r="B25" i="97"/>
  <c r="Z24" i="97"/>
  <c r="Z23" i="97"/>
  <c r="B23" i="97"/>
  <c r="Z22" i="97"/>
  <c r="B22" i="97" s="1"/>
  <c r="Z21" i="97"/>
  <c r="B21" i="97" s="1"/>
  <c r="Z20" i="97"/>
  <c r="B20" i="97" s="1"/>
  <c r="Z19" i="97"/>
  <c r="B19" i="97"/>
  <c r="Z18" i="97"/>
  <c r="B18" i="97"/>
  <c r="AB17" i="97"/>
  <c r="Z17" i="97" s="1"/>
  <c r="B17" i="97" s="1"/>
  <c r="Z16" i="97"/>
  <c r="B16" i="97"/>
  <c r="B12" i="101" s="1"/>
  <c r="B7" i="101" s="1"/>
  <c r="Z15" i="97"/>
  <c r="B15" i="97"/>
  <c r="Z14" i="97"/>
  <c r="B14" i="97" s="1"/>
  <c r="Z13" i="97"/>
  <c r="B13" i="97"/>
  <c r="N1" i="97"/>
  <c r="B362" i="96"/>
  <c r="I362" i="96" s="1"/>
  <c r="R361" i="96"/>
  <c r="B361" i="96" s="1"/>
  <c r="I361" i="96" s="1"/>
  <c r="R360" i="96"/>
  <c r="B360" i="96"/>
  <c r="I360" i="96" s="1"/>
  <c r="R359" i="96"/>
  <c r="B359" i="96"/>
  <c r="I359" i="96" s="1"/>
  <c r="R358" i="96"/>
  <c r="B358" i="96" s="1"/>
  <c r="I358" i="96" s="1"/>
  <c r="I357" i="96"/>
  <c r="B357" i="96"/>
  <c r="B356" i="96"/>
  <c r="I356" i="96" s="1"/>
  <c r="B355" i="96"/>
  <c r="I355" i="96" s="1"/>
  <c r="R354" i="96"/>
  <c r="B354" i="96"/>
  <c r="I354" i="96" s="1"/>
  <c r="I353" i="96"/>
  <c r="B353" i="96"/>
  <c r="B352" i="96"/>
  <c r="I352" i="96" s="1"/>
  <c r="I351" i="96"/>
  <c r="B351" i="96"/>
  <c r="B346" i="96" s="1"/>
  <c r="I340" i="96"/>
  <c r="B340" i="96"/>
  <c r="B339" i="96"/>
  <c r="I339" i="96" s="1"/>
  <c r="R338" i="96"/>
  <c r="B338" i="96" s="1"/>
  <c r="I338" i="96"/>
  <c r="R337" i="96"/>
  <c r="B337" i="96"/>
  <c r="I337" i="96" s="1"/>
  <c r="B336" i="96"/>
  <c r="I336" i="96" s="1"/>
  <c r="R335" i="96"/>
  <c r="B335" i="96" s="1"/>
  <c r="I335" i="96"/>
  <c r="B334" i="96"/>
  <c r="I334" i="96" s="1"/>
  <c r="I333" i="96"/>
  <c r="B333" i="96"/>
  <c r="B332" i="96"/>
  <c r="I332" i="96" s="1"/>
  <c r="R331" i="96"/>
  <c r="B331" i="96" s="1"/>
  <c r="I331" i="96" s="1"/>
  <c r="I330" i="96"/>
  <c r="B330" i="96"/>
  <c r="B329" i="96"/>
  <c r="I329" i="96" s="1"/>
  <c r="B324" i="96"/>
  <c r="I318" i="96"/>
  <c r="B318" i="96"/>
  <c r="B317" i="96"/>
  <c r="I317" i="96" s="1"/>
  <c r="I316" i="96"/>
  <c r="B316" i="96"/>
  <c r="B315" i="96"/>
  <c r="I315" i="96" s="1"/>
  <c r="I314" i="96"/>
  <c r="B314" i="96"/>
  <c r="B313" i="96"/>
  <c r="I313" i="96" s="1"/>
  <c r="I312" i="96"/>
  <c r="B312" i="96"/>
  <c r="B311" i="96"/>
  <c r="I311" i="96" s="1"/>
  <c r="I310" i="96"/>
  <c r="B310" i="96"/>
  <c r="B309" i="96"/>
  <c r="I309" i="96" s="1"/>
  <c r="I308" i="96"/>
  <c r="B308" i="96"/>
  <c r="B303" i="96" s="1"/>
  <c r="R297" i="96"/>
  <c r="B297" i="96" s="1"/>
  <c r="I297" i="96"/>
  <c r="R296" i="96"/>
  <c r="I296" i="96"/>
  <c r="B296" i="96"/>
  <c r="I295" i="96"/>
  <c r="B295" i="96"/>
  <c r="T294" i="96"/>
  <c r="B294" i="96" s="1"/>
  <c r="I294" i="96" s="1"/>
  <c r="P293" i="96"/>
  <c r="I293" i="96"/>
  <c r="P292" i="96"/>
  <c r="I292" i="96"/>
  <c r="S290" i="96"/>
  <c r="S291" i="96" s="1"/>
  <c r="B287" i="96"/>
  <c r="R281" i="96"/>
  <c r="B281" i="96"/>
  <c r="I281" i="96" s="1"/>
  <c r="R280" i="96"/>
  <c r="B280" i="96" s="1"/>
  <c r="I280" i="96" s="1"/>
  <c r="R279" i="96"/>
  <c r="B279" i="96" s="1"/>
  <c r="I279" i="96"/>
  <c r="P278" i="96"/>
  <c r="I278" i="96"/>
  <c r="B278" i="96"/>
  <c r="I277" i="96"/>
  <c r="B277" i="96"/>
  <c r="I276" i="96"/>
  <c r="B276" i="96"/>
  <c r="B271" i="96" s="1"/>
  <c r="R265" i="96"/>
  <c r="B265" i="96"/>
  <c r="I265" i="96" s="1"/>
  <c r="R264" i="96"/>
  <c r="B264" i="96"/>
  <c r="I264" i="96" s="1"/>
  <c r="R263" i="96"/>
  <c r="B263" i="96" s="1"/>
  <c r="I263" i="96" s="1"/>
  <c r="R262" i="96"/>
  <c r="B262" i="96" s="1"/>
  <c r="I262" i="96" s="1"/>
  <c r="R261" i="96"/>
  <c r="B261" i="96"/>
  <c r="I261" i="96" s="1"/>
  <c r="B260" i="96"/>
  <c r="S248" i="96"/>
  <c r="B248" i="96" s="1"/>
  <c r="I248" i="96" s="1"/>
  <c r="S247" i="96"/>
  <c r="I247" i="96"/>
  <c r="B247" i="96"/>
  <c r="B242" i="96"/>
  <c r="B235" i="96" s="1"/>
  <c r="I235" i="96" s="1"/>
  <c r="B236" i="96"/>
  <c r="I236" i="96" s="1"/>
  <c r="B233" i="96"/>
  <c r="B228" i="96" s="1"/>
  <c r="R222" i="96"/>
  <c r="B222" i="96" s="1"/>
  <c r="I222" i="96" s="1"/>
  <c r="R221" i="96"/>
  <c r="I221" i="96"/>
  <c r="B221" i="96"/>
  <c r="R220" i="96"/>
  <c r="B220" i="96"/>
  <c r="I220" i="96" s="1"/>
  <c r="R219" i="96"/>
  <c r="B219" i="96" s="1"/>
  <c r="I219" i="96" s="1"/>
  <c r="I218" i="96"/>
  <c r="B218" i="96"/>
  <c r="I216" i="96"/>
  <c r="B216" i="96"/>
  <c r="B211" i="96" s="1"/>
  <c r="R205" i="96"/>
  <c r="B205" i="96" s="1"/>
  <c r="I205" i="96" s="1"/>
  <c r="R204" i="96"/>
  <c r="B204" i="96"/>
  <c r="I204" i="96" s="1"/>
  <c r="B203" i="96"/>
  <c r="I203" i="96" s="1"/>
  <c r="T202" i="96"/>
  <c r="B202" i="96" s="1"/>
  <c r="I202" i="96"/>
  <c r="P201" i="96"/>
  <c r="I201" i="96"/>
  <c r="P200" i="96"/>
  <c r="I200" i="96"/>
  <c r="S198" i="96"/>
  <c r="B195" i="96"/>
  <c r="R189" i="96"/>
  <c r="B189" i="96" s="1"/>
  <c r="I189" i="96" s="1"/>
  <c r="R188" i="96"/>
  <c r="B188" i="96" s="1"/>
  <c r="I188" i="96" s="1"/>
  <c r="R187" i="96"/>
  <c r="B187" i="96"/>
  <c r="I187" i="96" s="1"/>
  <c r="P186" i="96"/>
  <c r="B186" i="96"/>
  <c r="I186" i="96" s="1"/>
  <c r="I185" i="96"/>
  <c r="I184" i="96"/>
  <c r="B179" i="96"/>
  <c r="R173" i="96"/>
  <c r="B173" i="96" s="1"/>
  <c r="I173" i="96" s="1"/>
  <c r="R172" i="96"/>
  <c r="B172" i="96"/>
  <c r="I172" i="96" s="1"/>
  <c r="R171" i="96"/>
  <c r="I171" i="96"/>
  <c r="B171" i="96"/>
  <c r="R170" i="96"/>
  <c r="B170" i="96" s="1"/>
  <c r="I170" i="96" s="1"/>
  <c r="R169" i="96"/>
  <c r="B169" i="96" s="1"/>
  <c r="I169" i="96" s="1"/>
  <c r="I168" i="96"/>
  <c r="B168" i="96"/>
  <c r="I167" i="96"/>
  <c r="B167" i="96"/>
  <c r="B162" i="96"/>
  <c r="B156" i="96"/>
  <c r="I156" i="96" s="1"/>
  <c r="R155" i="96"/>
  <c r="I155" i="96"/>
  <c r="B155" i="96"/>
  <c r="I154" i="96"/>
  <c r="B154" i="96"/>
  <c r="B153" i="96"/>
  <c r="I153" i="96" s="1"/>
  <c r="I152" i="96"/>
  <c r="B152" i="96"/>
  <c r="B147" i="96"/>
  <c r="R141" i="96"/>
  <c r="B141" i="96" s="1"/>
  <c r="I141" i="96" s="1"/>
  <c r="R140" i="96"/>
  <c r="B140" i="96"/>
  <c r="I140" i="96" s="1"/>
  <c r="B139" i="96"/>
  <c r="I139" i="96" s="1"/>
  <c r="B138" i="96"/>
  <c r="R127" i="96"/>
  <c r="B127" i="96"/>
  <c r="I127" i="96" s="1"/>
  <c r="R126" i="96"/>
  <c r="B126" i="96" s="1"/>
  <c r="I126" i="96" s="1"/>
  <c r="R125" i="96"/>
  <c r="B125" i="96" s="1"/>
  <c r="I125" i="96" s="1"/>
  <c r="R124" i="96"/>
  <c r="B124" i="96" s="1"/>
  <c r="I124" i="96" s="1"/>
  <c r="I123" i="96"/>
  <c r="R112" i="96"/>
  <c r="B112" i="96" s="1"/>
  <c r="I112" i="96"/>
  <c r="I111" i="96"/>
  <c r="Q110" i="96"/>
  <c r="S110" i="96" s="1"/>
  <c r="B110" i="96" s="1"/>
  <c r="I110" i="96" s="1"/>
  <c r="I108" i="96"/>
  <c r="R97" i="96"/>
  <c r="B97" i="96"/>
  <c r="I97" i="96" s="1"/>
  <c r="I96" i="96"/>
  <c r="I95" i="96"/>
  <c r="I84" i="96"/>
  <c r="I83" i="96"/>
  <c r="I82" i="96"/>
  <c r="B77" i="96"/>
  <c r="R71" i="96"/>
  <c r="B71" i="96" s="1"/>
  <c r="I71" i="96" s="1"/>
  <c r="I70" i="96"/>
  <c r="B69" i="96"/>
  <c r="I69" i="96" s="1"/>
  <c r="I68" i="96"/>
  <c r="R57" i="96"/>
  <c r="B57" i="96"/>
  <c r="I57" i="96" s="1"/>
  <c r="R56" i="96"/>
  <c r="B56" i="96" s="1"/>
  <c r="I56" i="96" s="1"/>
  <c r="R55" i="96"/>
  <c r="B55" i="96"/>
  <c r="B50" i="96" s="1"/>
  <c r="R44" i="96"/>
  <c r="B44" i="96" s="1"/>
  <c r="I44" i="96" s="1"/>
  <c r="I43" i="96"/>
  <c r="I41" i="96"/>
  <c r="R30" i="96"/>
  <c r="B30" i="96" s="1"/>
  <c r="I30" i="96" s="1"/>
  <c r="R29" i="96"/>
  <c r="B29" i="96"/>
  <c r="I29" i="96" s="1"/>
  <c r="R28" i="96"/>
  <c r="B28" i="96"/>
  <c r="I28" i="96" s="1"/>
  <c r="I27" i="96"/>
  <c r="B27" i="96"/>
  <c r="I26" i="96"/>
  <c r="R15" i="96"/>
  <c r="B15" i="96" s="1"/>
  <c r="I15" i="96"/>
  <c r="I14" i="96"/>
  <c r="I13" i="96"/>
  <c r="B57" i="95"/>
  <c r="J57" i="95" s="1"/>
  <c r="J56" i="95"/>
  <c r="B56" i="95"/>
  <c r="B55" i="95" s="1"/>
  <c r="J55" i="95" s="1"/>
  <c r="S54" i="95"/>
  <c r="B54" i="95" s="1"/>
  <c r="J54" i="95" s="1"/>
  <c r="S53" i="95"/>
  <c r="B53" i="95" s="1"/>
  <c r="J53" i="95"/>
  <c r="S52" i="95"/>
  <c r="B52" i="95"/>
  <c r="J52" i="95" s="1"/>
  <c r="B51" i="95"/>
  <c r="J51" i="95" s="1"/>
  <c r="S50" i="95"/>
  <c r="B50" i="95" s="1"/>
  <c r="J50" i="95"/>
  <c r="J49" i="95"/>
  <c r="B49" i="95"/>
  <c r="J48" i="95"/>
  <c r="B48" i="95"/>
  <c r="B43" i="95"/>
  <c r="S37" i="95"/>
  <c r="B37" i="95" s="1"/>
  <c r="J37" i="95" s="1"/>
  <c r="S36" i="95"/>
  <c r="B36" i="95"/>
  <c r="J36" i="95" s="1"/>
  <c r="S35" i="95"/>
  <c r="J35" i="95"/>
  <c r="B35" i="95"/>
  <c r="J34" i="95"/>
  <c r="B34" i="95"/>
  <c r="J33" i="95"/>
  <c r="B33" i="95"/>
  <c r="S32" i="95"/>
  <c r="B32" i="95" s="1"/>
  <c r="J32" i="95" s="1"/>
  <c r="B31" i="95"/>
  <c r="J31" i="95" s="1"/>
  <c r="B30" i="95"/>
  <c r="J30" i="95" s="1"/>
  <c r="J29" i="95"/>
  <c r="B19" i="95"/>
  <c r="S18" i="95"/>
  <c r="J18" i="95"/>
  <c r="B18" i="95"/>
  <c r="J17" i="95"/>
  <c r="B17" i="95"/>
  <c r="S16" i="95"/>
  <c r="B16" i="95"/>
  <c r="J16" i="95" s="1"/>
  <c r="B15" i="95"/>
  <c r="J15" i="95" s="1"/>
  <c r="B14" i="95"/>
  <c r="J14" i="95" s="1"/>
  <c r="J13" i="95"/>
  <c r="J12" i="95"/>
  <c r="B12" i="95"/>
  <c r="B7" i="95"/>
  <c r="B24" i="92" s="1"/>
  <c r="I47" i="94"/>
  <c r="I46" i="94"/>
  <c r="B45" i="94"/>
  <c r="R34" i="94"/>
  <c r="B34" i="94"/>
  <c r="I34" i="94" s="1"/>
  <c r="R33" i="94"/>
  <c r="B33" i="94" s="1"/>
  <c r="I33" i="94" s="1"/>
  <c r="R32" i="94"/>
  <c r="B32" i="94" s="1"/>
  <c r="I32" i="94" s="1"/>
  <c r="R31" i="94"/>
  <c r="B31" i="94" s="1"/>
  <c r="I31" i="94" s="1"/>
  <c r="I30" i="94"/>
  <c r="B30" i="94"/>
  <c r="I29" i="94"/>
  <c r="P28" i="94"/>
  <c r="I28" i="94"/>
  <c r="B23" i="94"/>
  <c r="Q17" i="94"/>
  <c r="B17" i="94" s="1"/>
  <c r="I17" i="94" s="1"/>
  <c r="Q16" i="94"/>
  <c r="I16" i="94"/>
  <c r="B16" i="94"/>
  <c r="Q15" i="94"/>
  <c r="B15" i="94"/>
  <c r="I15" i="94" s="1"/>
  <c r="P13" i="94"/>
  <c r="B13" i="94"/>
  <c r="I13" i="94" s="1"/>
  <c r="S10" i="94"/>
  <c r="S11" i="94" s="1"/>
  <c r="T14" i="94" s="1"/>
  <c r="B14" i="94" s="1"/>
  <c r="I14" i="94" s="1"/>
  <c r="I104" i="93"/>
  <c r="I103" i="93"/>
  <c r="I102" i="93"/>
  <c r="I89" i="93"/>
  <c r="I88" i="93"/>
  <c r="I87" i="93"/>
  <c r="I86" i="93"/>
  <c r="B81" i="93"/>
  <c r="B217" i="96" s="1"/>
  <c r="I217" i="96" s="1"/>
  <c r="I75" i="93"/>
  <c r="I74" i="93"/>
  <c r="I73" i="93"/>
  <c r="B68" i="93"/>
  <c r="B43" i="93" s="1"/>
  <c r="I43" i="93" s="1"/>
  <c r="I62" i="93"/>
  <c r="I61" i="93"/>
  <c r="B61" i="93"/>
  <c r="R60" i="93"/>
  <c r="B60" i="93" s="1"/>
  <c r="I60" i="93" s="1"/>
  <c r="I59" i="93"/>
  <c r="B54" i="93"/>
  <c r="R48" i="93"/>
  <c r="B48" i="93" s="1"/>
  <c r="I48" i="93" s="1"/>
  <c r="I47" i="93"/>
  <c r="B47" i="93"/>
  <c r="R46" i="93"/>
  <c r="B46" i="93"/>
  <c r="I46" i="93" s="1"/>
  <c r="R45" i="93"/>
  <c r="B45" i="93" s="1"/>
  <c r="I45" i="93" s="1"/>
  <c r="I44" i="93"/>
  <c r="B44" i="93"/>
  <c r="S42" i="93"/>
  <c r="I42" i="93"/>
  <c r="P38" i="93"/>
  <c r="R31" i="93"/>
  <c r="I31" i="93"/>
  <c r="B31" i="93"/>
  <c r="I30" i="93"/>
  <c r="B30" i="93"/>
  <c r="R29" i="93"/>
  <c r="B29" i="93" s="1"/>
  <c r="I29" i="93" s="1"/>
  <c r="I28" i="93"/>
  <c r="B23" i="93"/>
  <c r="Q17" i="93"/>
  <c r="B17" i="93" s="1"/>
  <c r="I17" i="93" s="1"/>
  <c r="Q16" i="93"/>
  <c r="B16" i="93" s="1"/>
  <c r="I16" i="93" s="1"/>
  <c r="B15" i="93"/>
  <c r="I15" i="93" s="1"/>
  <c r="I14" i="93"/>
  <c r="Q13" i="93"/>
  <c r="B13" i="93" s="1"/>
  <c r="O13" i="93"/>
  <c r="I13" i="93"/>
  <c r="I12" i="93"/>
  <c r="B7" i="93"/>
  <c r="T3" i="93"/>
  <c r="Z27" i="92"/>
  <c r="B27" i="92" s="1"/>
  <c r="Z26" i="92"/>
  <c r="B26" i="92" s="1"/>
  <c r="Z25" i="92"/>
  <c r="B25" i="92" s="1"/>
  <c r="Z24" i="92"/>
  <c r="Z23" i="92"/>
  <c r="B23" i="92" s="1"/>
  <c r="Z22" i="92"/>
  <c r="B22" i="92" s="1"/>
  <c r="Z21" i="92"/>
  <c r="B21" i="92" s="1"/>
  <c r="Z20" i="92"/>
  <c r="B20" i="92" s="1"/>
  <c r="Z19" i="92"/>
  <c r="B19" i="92" s="1"/>
  <c r="Z18" i="92"/>
  <c r="B18" i="92" s="1"/>
  <c r="AB17" i="92"/>
  <c r="Z17" i="92" s="1"/>
  <c r="B17" i="92" s="1"/>
  <c r="Z16" i="92"/>
  <c r="B16" i="92" s="1"/>
  <c r="B12" i="96" s="1"/>
  <c r="B7" i="96" s="1"/>
  <c r="Z15" i="92"/>
  <c r="B15" i="92"/>
  <c r="Z14" i="92"/>
  <c r="B14" i="92"/>
  <c r="Z13" i="92"/>
  <c r="B13" i="92"/>
  <c r="N1" i="92"/>
  <c r="B361" i="91"/>
  <c r="I361" i="91" s="1"/>
  <c r="R360" i="91"/>
  <c r="B360" i="91" s="1"/>
  <c r="I360" i="91" s="1"/>
  <c r="R359" i="91"/>
  <c r="B359" i="91"/>
  <c r="I359" i="91" s="1"/>
  <c r="R358" i="91"/>
  <c r="B358" i="91"/>
  <c r="I358" i="91" s="1"/>
  <c r="R357" i="91"/>
  <c r="B357" i="91" s="1"/>
  <c r="I357" i="91" s="1"/>
  <c r="B356" i="91"/>
  <c r="I356" i="91" s="1"/>
  <c r="I355" i="91"/>
  <c r="B355" i="91"/>
  <c r="I354" i="91"/>
  <c r="B354" i="91"/>
  <c r="R353" i="91"/>
  <c r="B353" i="91"/>
  <c r="I353" i="91" s="1"/>
  <c r="I352" i="91"/>
  <c r="B352" i="91"/>
  <c r="B351" i="91"/>
  <c r="I351" i="91" s="1"/>
  <c r="I350" i="91"/>
  <c r="I339" i="91"/>
  <c r="B339" i="91"/>
  <c r="B338" i="91"/>
  <c r="I338" i="91" s="1"/>
  <c r="R337" i="91"/>
  <c r="B337" i="91"/>
  <c r="I337" i="91" s="1"/>
  <c r="R336" i="91"/>
  <c r="B336" i="91" s="1"/>
  <c r="I336" i="91" s="1"/>
  <c r="B335" i="91"/>
  <c r="I335" i="91" s="1"/>
  <c r="R334" i="91"/>
  <c r="B334" i="91"/>
  <c r="I334" i="91" s="1"/>
  <c r="B333" i="91"/>
  <c r="I333" i="91" s="1"/>
  <c r="B332" i="91"/>
  <c r="I332" i="91" s="1"/>
  <c r="I331" i="91"/>
  <c r="B331" i="91"/>
  <c r="R330" i="91"/>
  <c r="B330" i="91" s="1"/>
  <c r="I330" i="91" s="1"/>
  <c r="I329" i="91"/>
  <c r="B329" i="91"/>
  <c r="B328" i="91"/>
  <c r="I328" i="91" s="1"/>
  <c r="B317" i="91"/>
  <c r="I317" i="91" s="1"/>
  <c r="B316" i="91"/>
  <c r="I316" i="91" s="1"/>
  <c r="B315" i="91"/>
  <c r="I315" i="91" s="1"/>
  <c r="I314" i="91"/>
  <c r="B314" i="91"/>
  <c r="B313" i="91"/>
  <c r="I313" i="91" s="1"/>
  <c r="B312" i="91"/>
  <c r="I312" i="91" s="1"/>
  <c r="B311" i="91"/>
  <c r="I311" i="91" s="1"/>
  <c r="I310" i="91"/>
  <c r="B310" i="91"/>
  <c r="B309" i="91"/>
  <c r="I309" i="91" s="1"/>
  <c r="B308" i="91"/>
  <c r="I308" i="91" s="1"/>
  <c r="B307" i="91"/>
  <c r="I307" i="91" s="1"/>
  <c r="B302" i="91"/>
  <c r="R296" i="91"/>
  <c r="B296" i="91"/>
  <c r="I296" i="91" s="1"/>
  <c r="R295" i="91"/>
  <c r="B295" i="91" s="1"/>
  <c r="I295" i="91" s="1"/>
  <c r="B294" i="91"/>
  <c r="I294" i="91" s="1"/>
  <c r="T292" i="91"/>
  <c r="B293" i="91" s="1"/>
  <c r="I293" i="91" s="1"/>
  <c r="P292" i="91"/>
  <c r="I292" i="91"/>
  <c r="P291" i="91"/>
  <c r="I291" i="91"/>
  <c r="S289" i="91"/>
  <c r="S288" i="91"/>
  <c r="B286" i="91"/>
  <c r="R280" i="91"/>
  <c r="B280" i="91" s="1"/>
  <c r="I280" i="91" s="1"/>
  <c r="R279" i="91"/>
  <c r="B279" i="91"/>
  <c r="I279" i="91" s="1"/>
  <c r="R278" i="91"/>
  <c r="B278" i="91"/>
  <c r="I278" i="91" s="1"/>
  <c r="P277" i="91"/>
  <c r="B277" i="91" s="1"/>
  <c r="I277" i="91" s="1"/>
  <c r="B276" i="91"/>
  <c r="I276" i="91" s="1"/>
  <c r="I275" i="91"/>
  <c r="B270" i="91"/>
  <c r="R264" i="91"/>
  <c r="B264" i="91" s="1"/>
  <c r="I264" i="91" s="1"/>
  <c r="R263" i="91"/>
  <c r="B263" i="91"/>
  <c r="I263" i="91" s="1"/>
  <c r="R262" i="91"/>
  <c r="B262" i="91"/>
  <c r="I262" i="91" s="1"/>
  <c r="R261" i="91"/>
  <c r="B261" i="91" s="1"/>
  <c r="I261" i="91" s="1"/>
  <c r="R260" i="91"/>
  <c r="B260" i="91" s="1"/>
  <c r="I260" i="91" s="1"/>
  <c r="B259" i="91"/>
  <c r="B247" i="91"/>
  <c r="I247" i="91" s="1"/>
  <c r="I246" i="91"/>
  <c r="B246" i="91"/>
  <c r="B241" i="91"/>
  <c r="B234" i="91" s="1"/>
  <c r="I234" i="91" s="1"/>
  <c r="B235" i="91"/>
  <c r="I235" i="91" s="1"/>
  <c r="I232" i="91"/>
  <c r="B227" i="91"/>
  <c r="R221" i="91"/>
  <c r="B221" i="91" s="1"/>
  <c r="I221" i="91" s="1"/>
  <c r="R220" i="91"/>
  <c r="B220" i="91" s="1"/>
  <c r="I220" i="91" s="1"/>
  <c r="R219" i="91"/>
  <c r="I219" i="91"/>
  <c r="B219" i="91"/>
  <c r="R218" i="91"/>
  <c r="B218" i="91"/>
  <c r="I218" i="91" s="1"/>
  <c r="I217" i="91"/>
  <c r="B217" i="91"/>
  <c r="B216" i="91"/>
  <c r="I216" i="91" s="1"/>
  <c r="P215" i="91"/>
  <c r="I215" i="91"/>
  <c r="B210" i="91"/>
  <c r="B204" i="91"/>
  <c r="I204" i="91" s="1"/>
  <c r="I203" i="91"/>
  <c r="B202" i="91"/>
  <c r="I202" i="91" s="1"/>
  <c r="P201" i="91"/>
  <c r="I201" i="91"/>
  <c r="P200" i="91"/>
  <c r="I200" i="91"/>
  <c r="S199" i="91"/>
  <c r="R196" i="91"/>
  <c r="R195" i="91"/>
  <c r="B195" i="91"/>
  <c r="R189" i="91"/>
  <c r="B189" i="91" s="1"/>
  <c r="I189" i="91" s="1"/>
  <c r="R188" i="91"/>
  <c r="B188" i="91" s="1"/>
  <c r="I188" i="91" s="1"/>
  <c r="R187" i="91"/>
  <c r="I187" i="91"/>
  <c r="B187" i="91"/>
  <c r="P186" i="91"/>
  <c r="B186" i="91"/>
  <c r="I186" i="91" s="1"/>
  <c r="I185" i="91"/>
  <c r="I184" i="91"/>
  <c r="B179" i="91"/>
  <c r="R173" i="91"/>
  <c r="B173" i="91" s="1"/>
  <c r="I173" i="91" s="1"/>
  <c r="R172" i="91"/>
  <c r="B172" i="91"/>
  <c r="I172" i="91" s="1"/>
  <c r="R171" i="91"/>
  <c r="B171" i="91"/>
  <c r="I171" i="91" s="1"/>
  <c r="R170" i="91"/>
  <c r="B170" i="91"/>
  <c r="I170" i="91" s="1"/>
  <c r="R169" i="91"/>
  <c r="B169" i="91" s="1"/>
  <c r="I169" i="91" s="1"/>
  <c r="I168" i="91"/>
  <c r="I167" i="91"/>
  <c r="B162" i="91"/>
  <c r="B156" i="91"/>
  <c r="I156" i="91" s="1"/>
  <c r="R155" i="91"/>
  <c r="I155" i="91"/>
  <c r="B155" i="91"/>
  <c r="I154" i="91"/>
  <c r="I153" i="91"/>
  <c r="I152" i="91"/>
  <c r="B147" i="91"/>
  <c r="R141" i="91"/>
  <c r="B141" i="91"/>
  <c r="I141" i="91" s="1"/>
  <c r="R140" i="91"/>
  <c r="B140" i="91"/>
  <c r="I140" i="91" s="1"/>
  <c r="I139" i="91"/>
  <c r="I138" i="91"/>
  <c r="B133" i="91"/>
  <c r="R127" i="91"/>
  <c r="B127" i="91" s="1"/>
  <c r="I127" i="91" s="1"/>
  <c r="R126" i="91"/>
  <c r="B126" i="91" s="1"/>
  <c r="I126" i="91"/>
  <c r="R125" i="91"/>
  <c r="B125" i="91"/>
  <c r="I125" i="91" s="1"/>
  <c r="I124" i="91"/>
  <c r="B124" i="91"/>
  <c r="I123" i="91"/>
  <c r="R112" i="91"/>
  <c r="B112" i="91" s="1"/>
  <c r="I112" i="91" s="1"/>
  <c r="I111" i="91"/>
  <c r="R110" i="91"/>
  <c r="B110" i="91" s="1"/>
  <c r="I110" i="91" s="1"/>
  <c r="B109" i="91"/>
  <c r="I109" i="91" s="1"/>
  <c r="I108" i="91"/>
  <c r="R97" i="91"/>
  <c r="B97" i="91"/>
  <c r="I97" i="91" s="1"/>
  <c r="I96" i="91"/>
  <c r="I95" i="91"/>
  <c r="I84" i="91"/>
  <c r="I83" i="91"/>
  <c r="I82" i="91"/>
  <c r="B77" i="91"/>
  <c r="R71" i="91"/>
  <c r="B71" i="91"/>
  <c r="I71" i="91" s="1"/>
  <c r="I70" i="91"/>
  <c r="B69" i="91"/>
  <c r="I69" i="91" s="1"/>
  <c r="I68" i="91"/>
  <c r="R57" i="91"/>
  <c r="B57" i="91"/>
  <c r="I57" i="91" s="1"/>
  <c r="R56" i="91"/>
  <c r="B56" i="91" s="1"/>
  <c r="I56" i="91" s="1"/>
  <c r="R55" i="91"/>
  <c r="I55" i="91"/>
  <c r="B55" i="91"/>
  <c r="B50" i="91"/>
  <c r="R44" i="91"/>
  <c r="B44" i="91" s="1"/>
  <c r="I44" i="91" s="1"/>
  <c r="I43" i="91"/>
  <c r="R42" i="91"/>
  <c r="I42" i="91"/>
  <c r="B42" i="91"/>
  <c r="I41" i="91"/>
  <c r="R30" i="91"/>
  <c r="B30" i="91" s="1"/>
  <c r="I30" i="91" s="1"/>
  <c r="R29" i="91"/>
  <c r="B29" i="91" s="1"/>
  <c r="I29" i="91" s="1"/>
  <c r="R28" i="91"/>
  <c r="B28" i="91"/>
  <c r="I28" i="91" s="1"/>
  <c r="I27" i="91"/>
  <c r="I26" i="91"/>
  <c r="R15" i="91"/>
  <c r="B15" i="91" s="1"/>
  <c r="I15" i="91"/>
  <c r="I14" i="91"/>
  <c r="I13" i="91"/>
  <c r="B57" i="90"/>
  <c r="J57" i="90" s="1"/>
  <c r="J56" i="90"/>
  <c r="B56" i="90"/>
  <c r="B55" i="90"/>
  <c r="J55" i="90" s="1"/>
  <c r="S54" i="90"/>
  <c r="B54" i="90" s="1"/>
  <c r="J54" i="90" s="1"/>
  <c r="S53" i="90"/>
  <c r="B53" i="90" s="1"/>
  <c r="J53" i="90" s="1"/>
  <c r="S52" i="90"/>
  <c r="B52" i="90"/>
  <c r="J52" i="90" s="1"/>
  <c r="J51" i="90"/>
  <c r="B51" i="90"/>
  <c r="S50" i="90"/>
  <c r="B50" i="90" s="1"/>
  <c r="J50" i="90" s="1"/>
  <c r="J49" i="90"/>
  <c r="B49" i="90"/>
  <c r="B48" i="90"/>
  <c r="J48" i="90" s="1"/>
  <c r="S37" i="90"/>
  <c r="B37" i="90" s="1"/>
  <c r="J37" i="90"/>
  <c r="S36" i="90"/>
  <c r="B36" i="90"/>
  <c r="J36" i="90" s="1"/>
  <c r="S35" i="90"/>
  <c r="B35" i="90" s="1"/>
  <c r="J35" i="90" s="1"/>
  <c r="J34" i="90"/>
  <c r="B33" i="90"/>
  <c r="J33" i="90" s="1"/>
  <c r="S32" i="90"/>
  <c r="B32" i="90"/>
  <c r="J32" i="90" s="1"/>
  <c r="B31" i="90"/>
  <c r="J31" i="90" s="1"/>
  <c r="J30" i="90"/>
  <c r="B30" i="90"/>
  <c r="J29" i="90"/>
  <c r="B19" i="90"/>
  <c r="S18" i="90"/>
  <c r="B18" i="90" s="1"/>
  <c r="J18" i="90" s="1"/>
  <c r="B17" i="90"/>
  <c r="J17" i="90" s="1"/>
  <c r="S16" i="90"/>
  <c r="B16" i="90"/>
  <c r="J16" i="90" s="1"/>
  <c r="B15" i="90"/>
  <c r="J15" i="90" s="1"/>
  <c r="B14" i="90"/>
  <c r="J14" i="90" s="1"/>
  <c r="J13" i="90"/>
  <c r="B12" i="90"/>
  <c r="J12" i="90" s="1"/>
  <c r="B9" i="90"/>
  <c r="B7" i="90"/>
  <c r="I47" i="89"/>
  <c r="I46" i="89"/>
  <c r="B45" i="89"/>
  <c r="R34" i="89"/>
  <c r="B34" i="89"/>
  <c r="I34" i="89" s="1"/>
  <c r="R33" i="89"/>
  <c r="B33" i="89" s="1"/>
  <c r="I33" i="89" s="1"/>
  <c r="R32" i="89"/>
  <c r="B32" i="89" s="1"/>
  <c r="I32" i="89" s="1"/>
  <c r="R31" i="89"/>
  <c r="B31" i="89"/>
  <c r="I31" i="89" s="1"/>
  <c r="I30" i="89"/>
  <c r="B30" i="89"/>
  <c r="I29" i="89"/>
  <c r="P28" i="89"/>
  <c r="I28" i="89"/>
  <c r="Q17" i="89"/>
  <c r="B17" i="89"/>
  <c r="I17" i="89" s="1"/>
  <c r="Q16" i="89"/>
  <c r="B16" i="89"/>
  <c r="I16" i="89" s="1"/>
  <c r="Q15" i="89"/>
  <c r="B15" i="89"/>
  <c r="I15" i="89" s="1"/>
  <c r="P13" i="89"/>
  <c r="I13" i="89"/>
  <c r="P12" i="89"/>
  <c r="I12" i="89"/>
  <c r="S10" i="89"/>
  <c r="S11" i="89" s="1"/>
  <c r="T14" i="89" s="1"/>
  <c r="B14" i="89" s="1"/>
  <c r="I14" i="89" s="1"/>
  <c r="B7" i="89"/>
  <c r="I104" i="88"/>
  <c r="I103" i="88"/>
  <c r="I102" i="88"/>
  <c r="I101" i="88"/>
  <c r="I100" i="88"/>
  <c r="B95" i="88"/>
  <c r="I89" i="88"/>
  <c r="I88" i="88"/>
  <c r="I87" i="88"/>
  <c r="I86" i="88"/>
  <c r="I75" i="88"/>
  <c r="B75" i="88"/>
  <c r="I74" i="88"/>
  <c r="I73" i="88"/>
  <c r="B62" i="88"/>
  <c r="I62" i="88" s="1"/>
  <c r="I61" i="88"/>
  <c r="R60" i="88"/>
  <c r="I60" i="88"/>
  <c r="B60" i="88"/>
  <c r="B59" i="88"/>
  <c r="I59" i="88" s="1"/>
  <c r="B54" i="88"/>
  <c r="R48" i="88"/>
  <c r="B48" i="88" s="1"/>
  <c r="I48" i="88" s="1"/>
  <c r="I47" i="88"/>
  <c r="B47" i="88"/>
  <c r="R46" i="88"/>
  <c r="B46" i="88"/>
  <c r="I46" i="88" s="1"/>
  <c r="R45" i="88"/>
  <c r="B45" i="88" s="1"/>
  <c r="I45" i="88" s="1"/>
  <c r="I44" i="88"/>
  <c r="B44" i="88"/>
  <c r="I43" i="88"/>
  <c r="I42" i="88"/>
  <c r="O37" i="88"/>
  <c r="AB17" i="87" s="1"/>
  <c r="Z17" i="87" s="1"/>
  <c r="B17" i="87" s="1"/>
  <c r="B37" i="88"/>
  <c r="R31" i="88"/>
  <c r="B31" i="88"/>
  <c r="I31" i="88" s="1"/>
  <c r="B30" i="88"/>
  <c r="I30" i="88" s="1"/>
  <c r="R29" i="88"/>
  <c r="B29" i="88"/>
  <c r="I29" i="88" s="1"/>
  <c r="I28" i="88"/>
  <c r="B23" i="88"/>
  <c r="Q17" i="88"/>
  <c r="B17" i="88" s="1"/>
  <c r="I17" i="88" s="1"/>
  <c r="Q16" i="88"/>
  <c r="B16" i="88"/>
  <c r="I16" i="88" s="1"/>
  <c r="I15" i="88"/>
  <c r="B15" i="88"/>
  <c r="I14" i="88"/>
  <c r="I12" i="88"/>
  <c r="B7" i="88"/>
  <c r="Z27" i="87"/>
  <c r="B27" i="87"/>
  <c r="Z26" i="87"/>
  <c r="B26" i="87" s="1"/>
  <c r="Z25" i="87"/>
  <c r="B25" i="87"/>
  <c r="Z24" i="87"/>
  <c r="B24" i="87"/>
  <c r="Z23" i="87"/>
  <c r="B23" i="87"/>
  <c r="Z22" i="87"/>
  <c r="B22" i="87" s="1"/>
  <c r="Z21" i="87"/>
  <c r="B21" i="87"/>
  <c r="Z20" i="87"/>
  <c r="B20" i="87" s="1"/>
  <c r="Z19" i="87"/>
  <c r="B19" i="87"/>
  <c r="Z18" i="87"/>
  <c r="B18" i="87" s="1"/>
  <c r="Z16" i="87"/>
  <c r="B16" i="87"/>
  <c r="B12" i="91" s="1"/>
  <c r="B7" i="91" s="1"/>
  <c r="Z15" i="87"/>
  <c r="B15" i="87" s="1"/>
  <c r="Z14" i="87"/>
  <c r="B14" i="87"/>
  <c r="Z13" i="87"/>
  <c r="B13" i="87"/>
  <c r="N1" i="87"/>
  <c r="B362" i="86"/>
  <c r="I362" i="86" s="1"/>
  <c r="R361" i="86"/>
  <c r="B361" i="86" s="1"/>
  <c r="I361" i="86" s="1"/>
  <c r="R360" i="86"/>
  <c r="B360" i="86"/>
  <c r="I360" i="86" s="1"/>
  <c r="R359" i="86"/>
  <c r="B359" i="86" s="1"/>
  <c r="I359" i="86" s="1"/>
  <c r="R358" i="86"/>
  <c r="B358" i="86"/>
  <c r="I358" i="86" s="1"/>
  <c r="B357" i="86"/>
  <c r="I357" i="86" s="1"/>
  <c r="B356" i="86"/>
  <c r="I356" i="86" s="1"/>
  <c r="B355" i="86"/>
  <c r="I355" i="86" s="1"/>
  <c r="R354" i="86"/>
  <c r="B354" i="86"/>
  <c r="I354" i="86" s="1"/>
  <c r="I353" i="86"/>
  <c r="B353" i="86"/>
  <c r="I352" i="86"/>
  <c r="B352" i="86"/>
  <c r="I351" i="86"/>
  <c r="B351" i="86"/>
  <c r="B346" i="86"/>
  <c r="B340" i="86"/>
  <c r="I340" i="86" s="1"/>
  <c r="B339" i="86"/>
  <c r="I339" i="86" s="1"/>
  <c r="R338" i="86"/>
  <c r="B338" i="86" s="1"/>
  <c r="I338" i="86" s="1"/>
  <c r="R337" i="86"/>
  <c r="B337" i="86"/>
  <c r="I337" i="86" s="1"/>
  <c r="B336" i="86"/>
  <c r="I336" i="86" s="1"/>
  <c r="R335" i="86"/>
  <c r="B335" i="86" s="1"/>
  <c r="I335" i="86" s="1"/>
  <c r="B334" i="86"/>
  <c r="I334" i="86" s="1"/>
  <c r="I333" i="86"/>
  <c r="B333" i="86"/>
  <c r="I332" i="86"/>
  <c r="B332" i="86"/>
  <c r="R331" i="86"/>
  <c r="B331" i="86"/>
  <c r="I331" i="86" s="1"/>
  <c r="B330" i="86"/>
  <c r="I330" i="86" s="1"/>
  <c r="B329" i="86"/>
  <c r="B318" i="86"/>
  <c r="I318" i="86" s="1"/>
  <c r="B317" i="86"/>
  <c r="I317" i="86" s="1"/>
  <c r="I316" i="86"/>
  <c r="B316" i="86"/>
  <c r="I315" i="86"/>
  <c r="B315" i="86"/>
  <c r="B314" i="86"/>
  <c r="I314" i="86" s="1"/>
  <c r="I313" i="86"/>
  <c r="B313" i="86"/>
  <c r="I312" i="86"/>
  <c r="B312" i="86"/>
  <c r="I311" i="86"/>
  <c r="B311" i="86"/>
  <c r="I310" i="86"/>
  <c r="B310" i="86"/>
  <c r="I309" i="86"/>
  <c r="I308" i="86"/>
  <c r="B308" i="86"/>
  <c r="B303" i="86" s="1"/>
  <c r="B277" i="86" s="1"/>
  <c r="I277" i="86" s="1"/>
  <c r="I297" i="86"/>
  <c r="I296" i="86"/>
  <c r="I295" i="86"/>
  <c r="B294" i="86"/>
  <c r="I294" i="86" s="1"/>
  <c r="T293" i="86"/>
  <c r="P293" i="86"/>
  <c r="I293" i="86"/>
  <c r="P292" i="86"/>
  <c r="I292" i="86"/>
  <c r="S290" i="86"/>
  <c r="S289" i="86"/>
  <c r="B287" i="86"/>
  <c r="R281" i="86"/>
  <c r="B281" i="86" s="1"/>
  <c r="I281" i="86"/>
  <c r="R280" i="86"/>
  <c r="B280" i="86" s="1"/>
  <c r="I280" i="86" s="1"/>
  <c r="R279" i="86"/>
  <c r="B279" i="86"/>
  <c r="I279" i="86" s="1"/>
  <c r="P278" i="86"/>
  <c r="B278" i="86"/>
  <c r="I278" i="86" s="1"/>
  <c r="B276" i="86"/>
  <c r="I276" i="86" s="1"/>
  <c r="B271" i="86"/>
  <c r="R265" i="86"/>
  <c r="B265" i="86" s="1"/>
  <c r="I265" i="86" s="1"/>
  <c r="R264" i="86"/>
  <c r="B264" i="86" s="1"/>
  <c r="I264" i="86" s="1"/>
  <c r="R263" i="86"/>
  <c r="B263" i="86" s="1"/>
  <c r="I263" i="86" s="1"/>
  <c r="R262" i="86"/>
  <c r="I262" i="86"/>
  <c r="B262" i="86"/>
  <c r="R261" i="86"/>
  <c r="B261" i="86"/>
  <c r="I261" i="86" s="1"/>
  <c r="R248" i="86"/>
  <c r="B248" i="86"/>
  <c r="I236" i="86"/>
  <c r="R222" i="86"/>
  <c r="B222" i="86"/>
  <c r="I222" i="86" s="1"/>
  <c r="R221" i="86"/>
  <c r="B221" i="86"/>
  <c r="I221" i="86" s="1"/>
  <c r="R220" i="86"/>
  <c r="B220" i="86" s="1"/>
  <c r="I220" i="86" s="1"/>
  <c r="R219" i="86"/>
  <c r="B219" i="86" s="1"/>
  <c r="I219" i="86"/>
  <c r="B218" i="86"/>
  <c r="I218" i="86" s="1"/>
  <c r="I217" i="86"/>
  <c r="B217" i="86"/>
  <c r="B216" i="86"/>
  <c r="I205" i="86"/>
  <c r="B205" i="86"/>
  <c r="B204" i="86"/>
  <c r="I204" i="86" s="1"/>
  <c r="I203" i="86"/>
  <c r="B202" i="86"/>
  <c r="I202" i="86" s="1"/>
  <c r="P201" i="86"/>
  <c r="I201" i="86"/>
  <c r="P200" i="86"/>
  <c r="I200" i="86"/>
  <c r="S198" i="86"/>
  <c r="S199" i="86" s="1"/>
  <c r="T202" i="86" s="1"/>
  <c r="B195" i="86"/>
  <c r="R189" i="86"/>
  <c r="B189" i="86" s="1"/>
  <c r="I189" i="86" s="1"/>
  <c r="R188" i="86"/>
  <c r="B188" i="86" s="1"/>
  <c r="I188" i="86" s="1"/>
  <c r="R187" i="86"/>
  <c r="B187" i="86"/>
  <c r="I187" i="86" s="1"/>
  <c r="P186" i="86"/>
  <c r="B186" i="86"/>
  <c r="I186" i="86" s="1"/>
  <c r="I185" i="86"/>
  <c r="I184" i="86"/>
  <c r="B179" i="86"/>
  <c r="R173" i="86"/>
  <c r="B173" i="86" s="1"/>
  <c r="I173" i="86"/>
  <c r="R172" i="86"/>
  <c r="B172" i="86"/>
  <c r="I172" i="86" s="1"/>
  <c r="R171" i="86"/>
  <c r="I171" i="86"/>
  <c r="B171" i="86"/>
  <c r="R170" i="86"/>
  <c r="B170" i="86" s="1"/>
  <c r="I170" i="86" s="1"/>
  <c r="R169" i="86"/>
  <c r="B169" i="86" s="1"/>
  <c r="I169" i="86" s="1"/>
  <c r="I168" i="86"/>
  <c r="B168" i="86"/>
  <c r="B162" i="86" s="1"/>
  <c r="B154" i="86" s="1"/>
  <c r="I156" i="86"/>
  <c r="R155" i="86"/>
  <c r="B155" i="86" s="1"/>
  <c r="I155" i="86" s="1"/>
  <c r="R141" i="86"/>
  <c r="B141" i="86"/>
  <c r="I141" i="86" s="1"/>
  <c r="R140" i="86"/>
  <c r="B140" i="86"/>
  <c r="I140" i="86" s="1"/>
  <c r="I139" i="86"/>
  <c r="I138" i="86"/>
  <c r="B133" i="86"/>
  <c r="B109" i="86" s="1"/>
  <c r="I109" i="86" s="1"/>
  <c r="R127" i="86"/>
  <c r="B127" i="86" s="1"/>
  <c r="I127" i="86"/>
  <c r="R126" i="86"/>
  <c r="B126" i="86"/>
  <c r="I126" i="86" s="1"/>
  <c r="R125" i="86"/>
  <c r="I125" i="86"/>
  <c r="B125" i="86"/>
  <c r="I124" i="86"/>
  <c r="I123" i="86"/>
  <c r="R112" i="86"/>
  <c r="B112" i="86"/>
  <c r="I112" i="86" s="1"/>
  <c r="I111" i="86"/>
  <c r="I108" i="86"/>
  <c r="R97" i="86"/>
  <c r="I97" i="86"/>
  <c r="B97" i="86"/>
  <c r="I96" i="86"/>
  <c r="I95" i="86"/>
  <c r="I84" i="86"/>
  <c r="I83" i="86"/>
  <c r="I82" i="86"/>
  <c r="R71" i="86"/>
  <c r="I71" i="86"/>
  <c r="B71" i="86"/>
  <c r="I70" i="86"/>
  <c r="I69" i="86"/>
  <c r="I68" i="86"/>
  <c r="R57" i="86"/>
  <c r="B57" i="86" s="1"/>
  <c r="I57" i="86" s="1"/>
  <c r="R56" i="86"/>
  <c r="B56" i="86"/>
  <c r="I56" i="86" s="1"/>
  <c r="R55" i="86"/>
  <c r="I55" i="86"/>
  <c r="R44" i="86"/>
  <c r="B44" i="86" s="1"/>
  <c r="I44" i="86" s="1"/>
  <c r="I43" i="86"/>
  <c r="R42" i="86"/>
  <c r="I42" i="86"/>
  <c r="I41" i="86"/>
  <c r="R30" i="86"/>
  <c r="B30" i="86"/>
  <c r="I30" i="86" s="1"/>
  <c r="R29" i="86"/>
  <c r="I29" i="86"/>
  <c r="B29" i="86"/>
  <c r="R28" i="86"/>
  <c r="B28" i="86" s="1"/>
  <c r="I28" i="86" s="1"/>
  <c r="I27" i="86"/>
  <c r="R15" i="86"/>
  <c r="B15" i="86" s="1"/>
  <c r="I15" i="86" s="1"/>
  <c r="B12" i="86"/>
  <c r="J57" i="85"/>
  <c r="B57" i="85"/>
  <c r="S55" i="85"/>
  <c r="B56" i="85" s="1"/>
  <c r="J56" i="85" s="1"/>
  <c r="S54" i="85"/>
  <c r="B54" i="85" s="1"/>
  <c r="J54" i="85"/>
  <c r="S53" i="85"/>
  <c r="B53" i="85"/>
  <c r="J53" i="85" s="1"/>
  <c r="S52" i="85"/>
  <c r="J52" i="85"/>
  <c r="B52" i="85"/>
  <c r="J51" i="85"/>
  <c r="B51" i="85"/>
  <c r="S50" i="85"/>
  <c r="B50" i="85"/>
  <c r="J50" i="85" s="1"/>
  <c r="B49" i="85"/>
  <c r="J49" i="85" s="1"/>
  <c r="J48" i="85"/>
  <c r="S37" i="85"/>
  <c r="B37" i="85" s="1"/>
  <c r="J37" i="85" s="1"/>
  <c r="S36" i="85"/>
  <c r="B36" i="85" s="1"/>
  <c r="J36" i="85" s="1"/>
  <c r="S35" i="85"/>
  <c r="B34" i="85" s="1"/>
  <c r="J34" i="85" s="1"/>
  <c r="B35" i="85"/>
  <c r="J35" i="85" s="1"/>
  <c r="B33" i="85"/>
  <c r="J33" i="85" s="1"/>
  <c r="S32" i="85"/>
  <c r="J32" i="85"/>
  <c r="B32" i="85"/>
  <c r="J31" i="85"/>
  <c r="B31" i="85"/>
  <c r="J30" i="85"/>
  <c r="J29" i="85"/>
  <c r="B19" i="85"/>
  <c r="S18" i="85"/>
  <c r="J18" i="85"/>
  <c r="B18" i="85"/>
  <c r="J17" i="85"/>
  <c r="B17" i="85"/>
  <c r="S16" i="85"/>
  <c r="B16" i="85"/>
  <c r="J16" i="85" s="1"/>
  <c r="B15" i="85"/>
  <c r="J15" i="85" s="1"/>
  <c r="B14" i="85"/>
  <c r="J14" i="85" s="1"/>
  <c r="B12" i="85"/>
  <c r="J12" i="85" s="1"/>
  <c r="B7" i="85"/>
  <c r="I47" i="84"/>
  <c r="I46" i="84"/>
  <c r="I45" i="84"/>
  <c r="B45" i="84"/>
  <c r="B40" i="84"/>
  <c r="I34" i="84"/>
  <c r="B34" i="84"/>
  <c r="B33" i="84"/>
  <c r="I33" i="84" s="1"/>
  <c r="R32" i="84"/>
  <c r="I32" i="84"/>
  <c r="B32" i="84"/>
  <c r="R31" i="84"/>
  <c r="B31" i="84" s="1"/>
  <c r="I31" i="84" s="1"/>
  <c r="B30" i="84"/>
  <c r="I30" i="84" s="1"/>
  <c r="I29" i="84"/>
  <c r="P28" i="84"/>
  <c r="I28" i="84"/>
  <c r="B23" i="84"/>
  <c r="B13" i="84" s="1"/>
  <c r="I13" i="84" s="1"/>
  <c r="I17" i="84"/>
  <c r="B17" i="84"/>
  <c r="I15" i="84"/>
  <c r="I14" i="84"/>
  <c r="P13" i="84"/>
  <c r="P12" i="84"/>
  <c r="I12" i="84"/>
  <c r="S9" i="84"/>
  <c r="S10" i="84" s="1"/>
  <c r="T13" i="84" s="1"/>
  <c r="B16" i="84" s="1"/>
  <c r="I16" i="84" s="1"/>
  <c r="B7" i="84"/>
  <c r="I104" i="83"/>
  <c r="I103" i="83"/>
  <c r="I102" i="83"/>
  <c r="I101" i="83"/>
  <c r="I100" i="83"/>
  <c r="B95" i="83"/>
  <c r="I89" i="83"/>
  <c r="I88" i="83"/>
  <c r="I87" i="83"/>
  <c r="I86" i="83"/>
  <c r="B81" i="83"/>
  <c r="B75" i="83"/>
  <c r="I75" i="83" s="1"/>
  <c r="I74" i="83"/>
  <c r="I73" i="83"/>
  <c r="I62" i="83"/>
  <c r="I61" i="83"/>
  <c r="B61" i="83"/>
  <c r="R60" i="83"/>
  <c r="B60" i="83"/>
  <c r="I60" i="83" s="1"/>
  <c r="I59" i="83"/>
  <c r="R48" i="83"/>
  <c r="B48" i="83"/>
  <c r="I48" i="83" s="1"/>
  <c r="B47" i="83"/>
  <c r="I47" i="83" s="1"/>
  <c r="R46" i="83"/>
  <c r="B46" i="83" s="1"/>
  <c r="I46" i="83" s="1"/>
  <c r="R45" i="83"/>
  <c r="B45" i="83"/>
  <c r="I45" i="83" s="1"/>
  <c r="B44" i="83"/>
  <c r="I44" i="83" s="1"/>
  <c r="B43" i="83"/>
  <c r="I43" i="83" s="1"/>
  <c r="I42" i="83"/>
  <c r="O37" i="83"/>
  <c r="R110" i="86" s="1"/>
  <c r="U110" i="86" s="1"/>
  <c r="B110" i="86" s="1"/>
  <c r="I110" i="86" s="1"/>
  <c r="B37" i="83"/>
  <c r="R31" i="83"/>
  <c r="B31" i="83" s="1"/>
  <c r="I31" i="83" s="1"/>
  <c r="B30" i="83"/>
  <c r="I30" i="83" s="1"/>
  <c r="R29" i="83"/>
  <c r="I29" i="83"/>
  <c r="B29" i="83"/>
  <c r="I28" i="83"/>
  <c r="B23" i="83"/>
  <c r="Q17" i="83"/>
  <c r="B17" i="83"/>
  <c r="I17" i="83" s="1"/>
  <c r="Q16" i="83"/>
  <c r="B16" i="83" s="1"/>
  <c r="I16" i="83" s="1"/>
  <c r="I15" i="83"/>
  <c r="B15" i="83"/>
  <c r="I14" i="83"/>
  <c r="Q13" i="83"/>
  <c r="S13" i="83" s="1"/>
  <c r="I13" i="83"/>
  <c r="I12" i="83"/>
  <c r="B7" i="83"/>
  <c r="O31" i="82"/>
  <c r="R27" i="82"/>
  <c r="B27" i="82"/>
  <c r="S26" i="82"/>
  <c r="R26" i="82"/>
  <c r="S25" i="82"/>
  <c r="R25" i="82"/>
  <c r="S24" i="82"/>
  <c r="R24" i="82"/>
  <c r="S23" i="82"/>
  <c r="R23" i="82"/>
  <c r="B23" i="82"/>
  <c r="S22" i="82"/>
  <c r="R22" i="82"/>
  <c r="S21" i="82"/>
  <c r="R21" i="82"/>
  <c r="S20" i="82"/>
  <c r="R20" i="82"/>
  <c r="S19" i="82"/>
  <c r="R19" i="82"/>
  <c r="S18" i="82"/>
  <c r="R18" i="82"/>
  <c r="T17" i="82"/>
  <c r="S17" i="82" s="1"/>
  <c r="B17" i="82" s="1"/>
  <c r="R17" i="82"/>
  <c r="S16" i="82"/>
  <c r="R16" i="82"/>
  <c r="S15" i="82"/>
  <c r="R15" i="82"/>
  <c r="S14" i="82"/>
  <c r="R14" i="82"/>
  <c r="S13" i="82"/>
  <c r="R13" i="82"/>
  <c r="T70" i="81"/>
  <c r="B70" i="81"/>
  <c r="J70" i="81" s="1"/>
  <c r="T69" i="81"/>
  <c r="B69" i="81" s="1"/>
  <c r="J69" i="81" s="1"/>
  <c r="T68" i="81"/>
  <c r="B68" i="81" s="1"/>
  <c r="J68" i="81" s="1"/>
  <c r="T67" i="81"/>
  <c r="J67" i="81"/>
  <c r="B67" i="81"/>
  <c r="T66" i="81"/>
  <c r="B66" i="81"/>
  <c r="J66" i="81" s="1"/>
  <c r="T65" i="81"/>
  <c r="B65" i="81" s="1"/>
  <c r="J65" i="81" s="1"/>
  <c r="T64" i="81"/>
  <c r="B64" i="81" s="1"/>
  <c r="J64" i="81" s="1"/>
  <c r="T63" i="81"/>
  <c r="J63" i="81"/>
  <c r="B63" i="81"/>
  <c r="T62" i="81"/>
  <c r="B62" i="81"/>
  <c r="J62" i="81" s="1"/>
  <c r="T61" i="81"/>
  <c r="B61" i="81" s="1"/>
  <c r="J61" i="81" s="1"/>
  <c r="T60" i="81"/>
  <c r="B60" i="81" s="1"/>
  <c r="J60" i="81" s="1"/>
  <c r="T59" i="81"/>
  <c r="J59" i="81"/>
  <c r="B59" i="81"/>
  <c r="T58" i="81"/>
  <c r="B58" i="81"/>
  <c r="J58" i="81" s="1"/>
  <c r="T57" i="81"/>
  <c r="B57" i="81" s="1"/>
  <c r="J57" i="81" s="1"/>
  <c r="J56" i="81"/>
  <c r="J45" i="81"/>
  <c r="J44" i="81"/>
  <c r="J43" i="81"/>
  <c r="J42" i="81"/>
  <c r="J41" i="81"/>
  <c r="J40" i="81"/>
  <c r="J39" i="81"/>
  <c r="J38" i="81"/>
  <c r="J37" i="81"/>
  <c r="J36" i="81"/>
  <c r="B35" i="81"/>
  <c r="J35" i="81" s="1"/>
  <c r="B34" i="81"/>
  <c r="J34" i="81" s="1"/>
  <c r="B33" i="81"/>
  <c r="J33" i="81" s="1"/>
  <c r="J32" i="81"/>
  <c r="J31" i="81"/>
  <c r="J30" i="81"/>
  <c r="S19" i="81"/>
  <c r="B19" i="81" s="1"/>
  <c r="J19" i="81" s="1"/>
  <c r="S18" i="81"/>
  <c r="J18" i="81"/>
  <c r="B18" i="81"/>
  <c r="S17" i="81"/>
  <c r="B17" i="81"/>
  <c r="J17" i="81" s="1"/>
  <c r="S16" i="81"/>
  <c r="B16" i="81" s="1"/>
  <c r="J16" i="81" s="1"/>
  <c r="S15" i="81"/>
  <c r="B15" i="81" s="1"/>
  <c r="J15" i="81" s="1"/>
  <c r="S14" i="81"/>
  <c r="J14" i="81"/>
  <c r="B14" i="81"/>
  <c r="S13" i="81"/>
  <c r="B13" i="81"/>
  <c r="J13" i="81" s="1"/>
  <c r="J12" i="81"/>
  <c r="T50" i="80"/>
  <c r="B50" i="80"/>
  <c r="J50" i="80" s="1"/>
  <c r="T49" i="80"/>
  <c r="B49" i="80" s="1"/>
  <c r="J49" i="80" s="1"/>
  <c r="T48" i="80"/>
  <c r="B48" i="80" s="1"/>
  <c r="J48" i="80" s="1"/>
  <c r="T47" i="80"/>
  <c r="B47" i="80" s="1"/>
  <c r="J47" i="80" s="1"/>
  <c r="T46" i="80"/>
  <c r="B46" i="80"/>
  <c r="J46" i="80" s="1"/>
  <c r="T45" i="80"/>
  <c r="J45" i="80"/>
  <c r="B45" i="80"/>
  <c r="T44" i="80"/>
  <c r="B44" i="80" s="1"/>
  <c r="J44" i="80" s="1"/>
  <c r="T43" i="80"/>
  <c r="B43" i="80" s="1"/>
  <c r="J43" i="80" s="1"/>
  <c r="T42" i="80"/>
  <c r="B42" i="80"/>
  <c r="J42" i="80" s="1"/>
  <c r="T41" i="80"/>
  <c r="B41" i="80" s="1"/>
  <c r="J41" i="80" s="1"/>
  <c r="T40" i="80"/>
  <c r="B40" i="80" s="1"/>
  <c r="J40" i="80" s="1"/>
  <c r="T39" i="80"/>
  <c r="J39" i="80"/>
  <c r="B39" i="80"/>
  <c r="J38" i="80"/>
  <c r="J27" i="80"/>
  <c r="J26" i="80"/>
  <c r="J25" i="80"/>
  <c r="J24" i="80"/>
  <c r="J23" i="80"/>
  <c r="J22" i="80"/>
  <c r="J21" i="80"/>
  <c r="J20" i="80"/>
  <c r="J19" i="80"/>
  <c r="J18" i="80"/>
  <c r="B17" i="80"/>
  <c r="J17" i="80" s="1"/>
  <c r="B16" i="80"/>
  <c r="J16" i="80" s="1"/>
  <c r="B15" i="80"/>
  <c r="J15" i="80" s="1"/>
  <c r="J14" i="80"/>
  <c r="J13" i="80"/>
  <c r="J12" i="80"/>
  <c r="Q17" i="78"/>
  <c r="I17" i="78"/>
  <c r="Q16" i="78"/>
  <c r="I16" i="78"/>
  <c r="Q15" i="78"/>
  <c r="I15" i="78"/>
  <c r="O14" i="78"/>
  <c r="Q14" i="78" s="1"/>
  <c r="I14" i="78"/>
  <c r="Q13" i="78"/>
  <c r="I13" i="78"/>
  <c r="J109" i="77"/>
  <c r="B108" i="77"/>
  <c r="J108" i="77" s="1"/>
  <c r="J107" i="77"/>
  <c r="J106" i="77"/>
  <c r="J105" i="77"/>
  <c r="J104" i="77"/>
  <c r="J103" i="77"/>
  <c r="J102" i="77"/>
  <c r="J101" i="77"/>
  <c r="J100" i="77"/>
  <c r="J99" i="77"/>
  <c r="J98" i="77"/>
  <c r="J97" i="77"/>
  <c r="J96" i="77"/>
  <c r="J95" i="77"/>
  <c r="J94" i="77"/>
  <c r="J93" i="77"/>
  <c r="J92" i="77"/>
  <c r="B91" i="77"/>
  <c r="J91" i="77" s="1"/>
  <c r="B86" i="77"/>
  <c r="J80" i="77"/>
  <c r="J79" i="77"/>
  <c r="J78" i="77"/>
  <c r="J77" i="77"/>
  <c r="J76" i="77"/>
  <c r="J75" i="77"/>
  <c r="B69" i="77"/>
  <c r="B74" i="77" s="1"/>
  <c r="J74" i="77" s="1"/>
  <c r="J63" i="77"/>
  <c r="K62" i="77"/>
  <c r="B62" i="77"/>
  <c r="J62" i="77" s="1"/>
  <c r="J61" i="77"/>
  <c r="K60" i="77"/>
  <c r="B60" i="77"/>
  <c r="J60" i="77" s="1"/>
  <c r="J59" i="77"/>
  <c r="K58" i="77"/>
  <c r="B58" i="77"/>
  <c r="J58" i="77" s="1"/>
  <c r="J57" i="77"/>
  <c r="K56" i="77"/>
  <c r="B56" i="77"/>
  <c r="J56" i="77" s="1"/>
  <c r="J55" i="77"/>
  <c r="K54" i="77"/>
  <c r="B54" i="77"/>
  <c r="J54" i="77" s="1"/>
  <c r="J53" i="77"/>
  <c r="K52" i="77"/>
  <c r="B52" i="77"/>
  <c r="J52" i="77" s="1"/>
  <c r="J51" i="77"/>
  <c r="J50" i="77"/>
  <c r="J49" i="77"/>
  <c r="J48" i="77"/>
  <c r="J47" i="77"/>
  <c r="J46" i="77"/>
  <c r="J45" i="77"/>
  <c r="J44" i="77"/>
  <c r="J43" i="77"/>
  <c r="J42" i="77"/>
  <c r="J41" i="77"/>
  <c r="J40" i="77"/>
  <c r="J39" i="77"/>
  <c r="B38" i="77"/>
  <c r="J38" i="77" s="1"/>
  <c r="B33" i="77"/>
  <c r="J27" i="77"/>
  <c r="J26" i="77"/>
  <c r="J25" i="77"/>
  <c r="J24" i="77"/>
  <c r="M59" i="76"/>
  <c r="L59" i="76"/>
  <c r="I59" i="76"/>
  <c r="I58" i="76"/>
  <c r="F58" i="76"/>
  <c r="C58" i="76"/>
  <c r="B58" i="76"/>
  <c r="M47" i="76"/>
  <c r="L47" i="76"/>
  <c r="I47" i="76"/>
  <c r="M46" i="76"/>
  <c r="L46" i="76"/>
  <c r="I46" i="76"/>
  <c r="M45" i="76"/>
  <c r="L45" i="76"/>
  <c r="I45" i="76"/>
  <c r="M44" i="76"/>
  <c r="L44" i="76"/>
  <c r="I44" i="76"/>
  <c r="M43" i="76"/>
  <c r="L43" i="76"/>
  <c r="I43" i="76"/>
  <c r="F42" i="76"/>
  <c r="C42" i="76"/>
  <c r="B42" i="76"/>
  <c r="I42" i="76" s="1"/>
  <c r="M31" i="76"/>
  <c r="L31" i="76"/>
  <c r="I31" i="76"/>
  <c r="I30" i="76"/>
  <c r="B30" i="76"/>
  <c r="M30" i="76" s="1"/>
  <c r="M29" i="76"/>
  <c r="L29" i="76"/>
  <c r="I29" i="76"/>
  <c r="M28" i="76"/>
  <c r="L28" i="76"/>
  <c r="I28" i="76"/>
  <c r="M27" i="76"/>
  <c r="L27" i="76"/>
  <c r="I27" i="76"/>
  <c r="F26" i="76"/>
  <c r="C26" i="76"/>
  <c r="B26" i="76"/>
  <c r="I26" i="76" s="1"/>
  <c r="I15" i="76"/>
  <c r="I14" i="76"/>
  <c r="I13" i="76"/>
  <c r="F12" i="76"/>
  <c r="C12" i="76"/>
  <c r="B12" i="76"/>
  <c r="I12" i="76" s="1"/>
  <c r="R489" i="75"/>
  <c r="B489" i="75" s="1"/>
  <c r="R488" i="75"/>
  <c r="B488" i="75" s="1"/>
  <c r="M488" i="75"/>
  <c r="A487" i="75"/>
  <c r="B477" i="75" s="1"/>
  <c r="B484" i="75"/>
  <c r="B482" i="75"/>
  <c r="R476" i="75"/>
  <c r="B476" i="75" s="1"/>
  <c r="I476" i="75" s="1"/>
  <c r="R475" i="75"/>
  <c r="B475" i="75" s="1"/>
  <c r="A474" i="75"/>
  <c r="B464" i="75" s="1"/>
  <c r="B471" i="75"/>
  <c r="B469" i="75"/>
  <c r="I463" i="75"/>
  <c r="A462" i="75"/>
  <c r="B459" i="75"/>
  <c r="B457" i="75"/>
  <c r="B452" i="75"/>
  <c r="R451" i="75"/>
  <c r="I451" i="75"/>
  <c r="B451" i="75"/>
  <c r="M451" i="75" s="1"/>
  <c r="R450" i="75"/>
  <c r="B450" i="75" s="1"/>
  <c r="L450" i="75"/>
  <c r="A449" i="75"/>
  <c r="B439" i="75" s="1"/>
  <c r="B446" i="75"/>
  <c r="R438" i="75"/>
  <c r="B438" i="75"/>
  <c r="I438" i="75" s="1"/>
  <c r="R437" i="75"/>
  <c r="L437" i="75"/>
  <c r="I437" i="75"/>
  <c r="B437" i="75"/>
  <c r="M437" i="75" s="1"/>
  <c r="A436" i="75"/>
  <c r="B426" i="75" s="1"/>
  <c r="R425" i="75"/>
  <c r="B425" i="75" s="1"/>
  <c r="O425" i="75"/>
  <c r="R424" i="75"/>
  <c r="B424" i="75" s="1"/>
  <c r="O424" i="75"/>
  <c r="M424" i="75"/>
  <c r="A423" i="75"/>
  <c r="B413" i="75" s="1"/>
  <c r="B420" i="75"/>
  <c r="B418" i="75"/>
  <c r="R412" i="75"/>
  <c r="B412" i="75" s="1"/>
  <c r="O412" i="75"/>
  <c r="O411" i="75"/>
  <c r="R411" i="75" s="1"/>
  <c r="B411" i="75" s="1"/>
  <c r="M411" i="75" s="1"/>
  <c r="O410" i="75"/>
  <c r="R410" i="75" s="1"/>
  <c r="B410" i="75" s="1"/>
  <c r="R409" i="75"/>
  <c r="M409" i="75"/>
  <c r="B409" i="75"/>
  <c r="I409" i="75" s="1"/>
  <c r="A408" i="75"/>
  <c r="B405" i="75"/>
  <c r="B403" i="75"/>
  <c r="B398" i="75"/>
  <c r="O397" i="75"/>
  <c r="R397" i="75" s="1"/>
  <c r="B397" i="75" s="1"/>
  <c r="O396" i="75"/>
  <c r="R396" i="75" s="1"/>
  <c r="B396" i="75" s="1"/>
  <c r="L396" i="75"/>
  <c r="O395" i="75"/>
  <c r="R395" i="75" s="1"/>
  <c r="B395" i="75" s="1"/>
  <c r="O394" i="75"/>
  <c r="R394" i="75" s="1"/>
  <c r="B394" i="75" s="1"/>
  <c r="O393" i="75"/>
  <c r="R393" i="75" s="1"/>
  <c r="B393" i="75" s="1"/>
  <c r="O392" i="75"/>
  <c r="R392" i="75" s="1"/>
  <c r="B392" i="75" s="1"/>
  <c r="L392" i="75"/>
  <c r="A391" i="75"/>
  <c r="B381" i="75" s="1"/>
  <c r="B388" i="75"/>
  <c r="B386" i="75"/>
  <c r="O380" i="75"/>
  <c r="R380" i="75" s="1"/>
  <c r="B380" i="75" s="1"/>
  <c r="O379" i="75"/>
  <c r="R379" i="75" s="1"/>
  <c r="B379" i="75" s="1"/>
  <c r="O378" i="75"/>
  <c r="R378" i="75" s="1"/>
  <c r="B378" i="75"/>
  <c r="O377" i="75"/>
  <c r="R377" i="75" s="1"/>
  <c r="B377" i="75" s="1"/>
  <c r="A376" i="75"/>
  <c r="B366" i="75" s="1"/>
  <c r="B373" i="75"/>
  <c r="B371" i="75"/>
  <c r="R365" i="75"/>
  <c r="B365" i="75" s="1"/>
  <c r="I365" i="75" s="1"/>
  <c r="R364" i="75"/>
  <c r="B364" i="75"/>
  <c r="I364" i="75" s="1"/>
  <c r="A363" i="75"/>
  <c r="B360" i="75"/>
  <c r="B358" i="75"/>
  <c r="B353" i="75"/>
  <c r="O352" i="75"/>
  <c r="R352" i="75" s="1"/>
  <c r="I352" i="75"/>
  <c r="R351" i="75"/>
  <c r="O351" i="75"/>
  <c r="I351" i="75"/>
  <c r="O350" i="75"/>
  <c r="I350" i="75"/>
  <c r="R349" i="75"/>
  <c r="B349" i="75" s="1"/>
  <c r="O349" i="75"/>
  <c r="A348" i="75"/>
  <c r="B338" i="75" s="1"/>
  <c r="B345" i="75"/>
  <c r="B343" i="75"/>
  <c r="R337" i="75"/>
  <c r="B337" i="75" s="1"/>
  <c r="L337" i="75"/>
  <c r="A336" i="75"/>
  <c r="B333" i="75"/>
  <c r="B331" i="75"/>
  <c r="B326" i="75"/>
  <c r="R325" i="75"/>
  <c r="L325" i="75"/>
  <c r="I325" i="75"/>
  <c r="B325" i="75"/>
  <c r="M325" i="75" s="1"/>
  <c r="R324" i="75"/>
  <c r="B324" i="75" s="1"/>
  <c r="L324" i="75"/>
  <c r="R323" i="75"/>
  <c r="B323" i="75" s="1"/>
  <c r="L323" i="75"/>
  <c r="R322" i="75"/>
  <c r="B322" i="75" s="1"/>
  <c r="L322" i="75"/>
  <c r="A321" i="75"/>
  <c r="B318" i="75"/>
  <c r="B316" i="75"/>
  <c r="B311" i="75"/>
  <c r="R310" i="75"/>
  <c r="B310" i="75" s="1"/>
  <c r="I310" i="75" s="1"/>
  <c r="R309" i="75"/>
  <c r="B309" i="75" s="1"/>
  <c r="I309" i="75" s="1"/>
  <c r="O308" i="75"/>
  <c r="R308" i="75" s="1"/>
  <c r="B308" i="75" s="1"/>
  <c r="I308" i="75" s="1"/>
  <c r="O307" i="75"/>
  <c r="R307" i="75" s="1"/>
  <c r="B307" i="75" s="1"/>
  <c r="I307" i="75" s="1"/>
  <c r="R306" i="75"/>
  <c r="B306" i="75" s="1"/>
  <c r="M306" i="75" s="1"/>
  <c r="A305" i="75"/>
  <c r="B295" i="75" s="1"/>
  <c r="B302" i="75"/>
  <c r="B300" i="75"/>
  <c r="R294" i="75"/>
  <c r="B294" i="75" s="1"/>
  <c r="I294" i="75" s="1"/>
  <c r="A293" i="75"/>
  <c r="B283" i="75" s="1"/>
  <c r="B290" i="75"/>
  <c r="B288" i="75"/>
  <c r="Y282" i="75"/>
  <c r="R282" i="75"/>
  <c r="B282" i="75" s="1"/>
  <c r="Q282" i="75"/>
  <c r="Y281" i="75"/>
  <c r="Q281" i="75"/>
  <c r="R281" i="75" s="1"/>
  <c r="B281" i="75" s="1"/>
  <c r="Y280" i="75"/>
  <c r="Q280" i="75" s="1"/>
  <c r="R280" i="75" s="1"/>
  <c r="B280" i="75" s="1"/>
  <c r="M280" i="75" s="1"/>
  <c r="A279" i="75"/>
  <c r="B269" i="75" s="1"/>
  <c r="B276" i="75"/>
  <c r="B274" i="75"/>
  <c r="Y268" i="75"/>
  <c r="Q268" i="75" s="1"/>
  <c r="R268" i="75" s="1"/>
  <c r="B268" i="75" s="1"/>
  <c r="A267" i="75"/>
  <c r="B257" i="75" s="1"/>
  <c r="B264" i="75"/>
  <c r="B262" i="75"/>
  <c r="R256" i="75"/>
  <c r="I256" i="75"/>
  <c r="B256" i="75"/>
  <c r="R255" i="75"/>
  <c r="B255" i="75" s="1"/>
  <c r="L255" i="75" s="1"/>
  <c r="A254" i="75"/>
  <c r="B244" i="75" s="1"/>
  <c r="B251" i="75"/>
  <c r="B249" i="75"/>
  <c r="Q243" i="75"/>
  <c r="R243" i="75" s="1"/>
  <c r="B243" i="75" s="1"/>
  <c r="I243" i="75" s="1"/>
  <c r="Y242" i="75"/>
  <c r="R242" i="75"/>
  <c r="B242" i="75" s="1"/>
  <c r="M242" i="75" s="1"/>
  <c r="Q242" i="75"/>
  <c r="L242" i="75"/>
  <c r="I242" i="75"/>
  <c r="Y241" i="75"/>
  <c r="Q241" i="75"/>
  <c r="R241" i="75" s="1"/>
  <c r="B241" i="75" s="1"/>
  <c r="O241" i="75"/>
  <c r="I241" i="75"/>
  <c r="Y240" i="75"/>
  <c r="Q240" i="75"/>
  <c r="R240" i="75" s="1"/>
  <c r="B240" i="75" s="1"/>
  <c r="Y239" i="75"/>
  <c r="R239" i="75"/>
  <c r="Q239" i="75"/>
  <c r="M239" i="75"/>
  <c r="B239" i="75"/>
  <c r="L239" i="75" s="1"/>
  <c r="A238" i="75"/>
  <c r="B228" i="75" s="1"/>
  <c r="B235" i="75"/>
  <c r="B233" i="75"/>
  <c r="R227" i="75"/>
  <c r="B227" i="75" s="1"/>
  <c r="Q227" i="75"/>
  <c r="A226" i="75"/>
  <c r="B216" i="75" s="1"/>
  <c r="B223" i="75"/>
  <c r="B221" i="75"/>
  <c r="O215" i="75"/>
  <c r="R215" i="75" s="1"/>
  <c r="B215" i="75" s="1"/>
  <c r="I215" i="75" s="1"/>
  <c r="O214" i="75"/>
  <c r="R214" i="75" s="1"/>
  <c r="B214" i="75" s="1"/>
  <c r="I214" i="75" s="1"/>
  <c r="R213" i="75"/>
  <c r="B213" i="75" s="1"/>
  <c r="I213" i="75" s="1"/>
  <c r="A212" i="75"/>
  <c r="B202" i="75" s="1"/>
  <c r="B209" i="75"/>
  <c r="B207" i="75"/>
  <c r="I201" i="75"/>
  <c r="I200" i="75"/>
  <c r="I199" i="75"/>
  <c r="I198" i="75"/>
  <c r="I197" i="75"/>
  <c r="I196" i="75"/>
  <c r="I195" i="75"/>
  <c r="I194" i="75"/>
  <c r="I193" i="75"/>
  <c r="I192" i="75"/>
  <c r="I191" i="75"/>
  <c r="D191" i="75"/>
  <c r="A190" i="75"/>
  <c r="A215" i="75" s="1"/>
  <c r="B187" i="75"/>
  <c r="B185" i="75"/>
  <c r="W179" i="75"/>
  <c r="Q179" i="75"/>
  <c r="R179" i="75" s="1"/>
  <c r="B179" i="75" s="1"/>
  <c r="O179" i="75"/>
  <c r="L179" i="75"/>
  <c r="F179" i="75"/>
  <c r="E179" i="75"/>
  <c r="W178" i="75"/>
  <c r="Q178" i="75" s="1"/>
  <c r="R178" i="75" s="1"/>
  <c r="B178" i="75" s="1"/>
  <c r="L178" i="75"/>
  <c r="F178" i="75"/>
  <c r="E178" i="75"/>
  <c r="D178" i="75"/>
  <c r="C178" i="75"/>
  <c r="A177" i="75"/>
  <c r="B174" i="75"/>
  <c r="B172" i="75"/>
  <c r="B167" i="75"/>
  <c r="Q166" i="75"/>
  <c r="R166" i="75" s="1"/>
  <c r="B166" i="75" s="1"/>
  <c r="U165" i="75"/>
  <c r="W165" i="75" s="1"/>
  <c r="Q162" i="75" s="1" a="1"/>
  <c r="M165" i="75"/>
  <c r="L165" i="75"/>
  <c r="I165" i="75"/>
  <c r="W164" i="75"/>
  <c r="O164" i="75"/>
  <c r="M164" i="75"/>
  <c r="I164" i="75"/>
  <c r="F164" i="75"/>
  <c r="E164" i="75"/>
  <c r="D164" i="75"/>
  <c r="C164" i="75"/>
  <c r="W163" i="75"/>
  <c r="M163" i="75"/>
  <c r="I163" i="75"/>
  <c r="F163" i="75"/>
  <c r="E163" i="75"/>
  <c r="D163" i="75"/>
  <c r="C163" i="75"/>
  <c r="W162" i="75"/>
  <c r="M162" i="75"/>
  <c r="L162" i="75"/>
  <c r="I162" i="75"/>
  <c r="A161" i="75"/>
  <c r="B158" i="75"/>
  <c r="B156" i="75"/>
  <c r="B151" i="75"/>
  <c r="I150" i="75"/>
  <c r="I149" i="75"/>
  <c r="I148" i="75"/>
  <c r="I147" i="75"/>
  <c r="I146" i="75"/>
  <c r="I145" i="75"/>
  <c r="I144" i="75"/>
  <c r="I143" i="75"/>
  <c r="I142" i="75"/>
  <c r="I141" i="75"/>
  <c r="I140" i="75"/>
  <c r="I139" i="75"/>
  <c r="I138" i="75"/>
  <c r="A137" i="75"/>
  <c r="A164" i="75" s="1"/>
  <c r="B134" i="75"/>
  <c r="B132" i="75"/>
  <c r="B127" i="75"/>
  <c r="I126" i="75"/>
  <c r="I125" i="75"/>
  <c r="I124" i="75"/>
  <c r="R123" i="75"/>
  <c r="B123" i="75" s="1"/>
  <c r="I123" i="75" s="1"/>
  <c r="I122" i="75"/>
  <c r="I121" i="75"/>
  <c r="I120" i="75"/>
  <c r="I119" i="75"/>
  <c r="I118" i="75"/>
  <c r="I117" i="75"/>
  <c r="I116" i="75"/>
  <c r="I115" i="75"/>
  <c r="I114" i="75"/>
  <c r="I113" i="75"/>
  <c r="I112" i="75"/>
  <c r="A111" i="75"/>
  <c r="A163" i="75" s="1"/>
  <c r="B106" i="75"/>
  <c r="L100" i="75"/>
  <c r="L99" i="75"/>
  <c r="L95" i="75"/>
  <c r="O94" i="75"/>
  <c r="L94" i="75"/>
  <c r="O93" i="75"/>
  <c r="L93" i="75"/>
  <c r="O92" i="75"/>
  <c r="L92" i="75"/>
  <c r="A91" i="75"/>
  <c r="B81" i="75" s="1"/>
  <c r="B88" i="75"/>
  <c r="B86" i="75"/>
  <c r="R80" i="75"/>
  <c r="L80" i="75"/>
  <c r="I80" i="75"/>
  <c r="B80" i="75"/>
  <c r="M80" i="75" s="1"/>
  <c r="R79" i="75"/>
  <c r="B79" i="75" s="1"/>
  <c r="I79" i="75" s="1"/>
  <c r="R78" i="75"/>
  <c r="I78" i="75"/>
  <c r="B78" i="75"/>
  <c r="R77" i="75"/>
  <c r="B77" i="75"/>
  <c r="I77" i="75" s="1"/>
  <c r="R76" i="75"/>
  <c r="B76" i="75" s="1"/>
  <c r="I76" i="75" s="1"/>
  <c r="A75" i="75"/>
  <c r="B65" i="75" s="1"/>
  <c r="R64" i="75"/>
  <c r="B64" i="75" s="1"/>
  <c r="R63" i="75"/>
  <c r="I63" i="75"/>
  <c r="B63" i="75"/>
  <c r="R62" i="75"/>
  <c r="Q62" i="75"/>
  <c r="B62" i="75" s="1"/>
  <c r="R61" i="75"/>
  <c r="L61" i="75"/>
  <c r="I61" i="75"/>
  <c r="B61" i="75"/>
  <c r="R60" i="75"/>
  <c r="B60" i="75"/>
  <c r="R59" i="75"/>
  <c r="B59" i="75"/>
  <c r="L59" i="75" s="1"/>
  <c r="R58" i="75"/>
  <c r="M58" i="75"/>
  <c r="L58" i="75"/>
  <c r="I58" i="75"/>
  <c r="B58" i="75"/>
  <c r="R57" i="75"/>
  <c r="B57" i="75"/>
  <c r="R56" i="75"/>
  <c r="B56" i="75" s="1"/>
  <c r="R55" i="75"/>
  <c r="B55" i="75" s="1"/>
  <c r="I55" i="75"/>
  <c r="R54" i="75"/>
  <c r="B54" i="75" s="1"/>
  <c r="I54" i="75" s="1"/>
  <c r="R53" i="75"/>
  <c r="B53" i="75" s="1"/>
  <c r="I53" i="75" s="1"/>
  <c r="R52" i="75"/>
  <c r="B52" i="75"/>
  <c r="T51" i="75"/>
  <c r="R51" i="75"/>
  <c r="B51" i="75" s="1"/>
  <c r="I51" i="75" s="1"/>
  <c r="A50" i="75"/>
  <c r="B47" i="75"/>
  <c r="R39" i="75"/>
  <c r="B39" i="75" s="1"/>
  <c r="R38" i="75"/>
  <c r="M38" i="75"/>
  <c r="L38" i="75"/>
  <c r="I38" i="75"/>
  <c r="B38" i="75"/>
  <c r="Q37" i="75"/>
  <c r="R37" i="75" s="1"/>
  <c r="B37" i="75"/>
  <c r="R36" i="75"/>
  <c r="B36" i="75"/>
  <c r="R35" i="75"/>
  <c r="L35" i="75"/>
  <c r="M35" i="75"/>
  <c r="I35" i="75"/>
  <c r="B35" i="75"/>
  <c r="R34" i="75"/>
  <c r="L34" i="75"/>
  <c r="B34" i="75"/>
  <c r="R33" i="75"/>
  <c r="B33" i="75" s="1"/>
  <c r="M33" i="75" s="1"/>
  <c r="R32" i="75"/>
  <c r="B32" i="75" s="1"/>
  <c r="R31" i="75"/>
  <c r="B31" i="75"/>
  <c r="M31" i="75" s="1"/>
  <c r="R30" i="75"/>
  <c r="B30" i="75" s="1"/>
  <c r="I30" i="75" s="1"/>
  <c r="L30" i="75"/>
  <c r="R29" i="75"/>
  <c r="I29" i="75"/>
  <c r="B29" i="75"/>
  <c r="M29" i="75" s="1"/>
  <c r="R28" i="75"/>
  <c r="B28" i="75" s="1"/>
  <c r="R27" i="75"/>
  <c r="B27" i="75"/>
  <c r="M27" i="75" s="1"/>
  <c r="R26" i="75"/>
  <c r="B26" i="75"/>
  <c r="M26" i="75" s="1"/>
  <c r="R25" i="75"/>
  <c r="B25" i="75" s="1"/>
  <c r="I25" i="75" s="1"/>
  <c r="A24" i="75"/>
  <c r="D13" i="75"/>
  <c r="A13" i="75"/>
  <c r="A12" i="75"/>
  <c r="B9" i="75"/>
  <c r="B7" i="75"/>
  <c r="B126" i="74"/>
  <c r="B125" i="74"/>
  <c r="B124" i="74"/>
  <c r="M123" i="74"/>
  <c r="J123" i="74"/>
  <c r="N123" i="74" s="1"/>
  <c r="J122" i="74"/>
  <c r="B122" i="74"/>
  <c r="J121" i="74"/>
  <c r="B121" i="74"/>
  <c r="N108" i="74"/>
  <c r="M108" i="74"/>
  <c r="J108" i="74"/>
  <c r="J107" i="74"/>
  <c r="N107" i="74" s="1"/>
  <c r="J95" i="74"/>
  <c r="J94" i="74"/>
  <c r="J91" i="74"/>
  <c r="J90" i="74"/>
  <c r="N74" i="74"/>
  <c r="J74" i="74"/>
  <c r="M74" i="74" s="1"/>
  <c r="M73" i="74"/>
  <c r="J73" i="74"/>
  <c r="N73" i="74" s="1"/>
  <c r="N72" i="74"/>
  <c r="M72" i="74"/>
  <c r="J72" i="74"/>
  <c r="J71" i="74"/>
  <c r="N71" i="74" s="1"/>
  <c r="N70" i="74"/>
  <c r="M70" i="74"/>
  <c r="J70" i="74"/>
  <c r="B58" i="74"/>
  <c r="J58" i="74" s="1"/>
  <c r="M57" i="74"/>
  <c r="J57" i="74"/>
  <c r="N57" i="74" s="1"/>
  <c r="B57" i="74"/>
  <c r="J56" i="74"/>
  <c r="J55" i="74"/>
  <c r="J54" i="74"/>
  <c r="N54" i="74" s="1"/>
  <c r="B54" i="74"/>
  <c r="B53" i="74"/>
  <c r="J53" i="74" s="1"/>
  <c r="J52" i="74"/>
  <c r="B40" i="74"/>
  <c r="B39" i="74"/>
  <c r="J39" i="74" s="1"/>
  <c r="J38" i="74"/>
  <c r="J37" i="74"/>
  <c r="J24" i="74"/>
  <c r="J12" i="74"/>
  <c r="J206" i="73"/>
  <c r="B206" i="73"/>
  <c r="J205" i="73"/>
  <c r="J190" i="73"/>
  <c r="B181" i="73"/>
  <c r="J178" i="73"/>
  <c r="J176" i="73"/>
  <c r="B167" i="73"/>
  <c r="J164" i="73"/>
  <c r="B164" i="73"/>
  <c r="B155" i="73"/>
  <c r="B141" i="73"/>
  <c r="B138" i="73"/>
  <c r="J138" i="73" s="1"/>
  <c r="J137" i="73"/>
  <c r="B137" i="73"/>
  <c r="J136" i="73"/>
  <c r="B136" i="73"/>
  <c r="B135" i="73"/>
  <c r="J135" i="73" s="1"/>
  <c r="B126" i="73"/>
  <c r="J123" i="73"/>
  <c r="B123" i="73"/>
  <c r="B122" i="73"/>
  <c r="J122" i="73" s="1"/>
  <c r="B121" i="73"/>
  <c r="J121" i="73" s="1"/>
  <c r="B120" i="73"/>
  <c r="J120" i="73" s="1"/>
  <c r="J119" i="73"/>
  <c r="B119" i="73"/>
  <c r="J118" i="73"/>
  <c r="J117" i="73"/>
  <c r="J116" i="73"/>
  <c r="J115" i="73"/>
  <c r="J114" i="73"/>
  <c r="B105" i="73"/>
  <c r="J102" i="73"/>
  <c r="B102" i="73"/>
  <c r="B101" i="73"/>
  <c r="J101" i="73" s="1"/>
  <c r="B100" i="73"/>
  <c r="J100" i="73" s="1"/>
  <c r="B99" i="73"/>
  <c r="J99" i="73" s="1"/>
  <c r="J98" i="73"/>
  <c r="B98" i="73"/>
  <c r="B89" i="73"/>
  <c r="J86" i="73"/>
  <c r="B86" i="73"/>
  <c r="B77" i="73"/>
  <c r="B74" i="73"/>
  <c r="B73" i="73"/>
  <c r="B72" i="73"/>
  <c r="A71" i="73"/>
  <c r="B63" i="73"/>
  <c r="B60" i="73"/>
  <c r="J60" i="73" s="1"/>
  <c r="B59" i="73"/>
  <c r="J59" i="73" s="1"/>
  <c r="J58" i="73"/>
  <c r="B58" i="73"/>
  <c r="B57" i="73"/>
  <c r="J57" i="73" s="1"/>
  <c r="B48" i="73"/>
  <c r="J45" i="73"/>
  <c r="B45" i="73"/>
  <c r="B44" i="73"/>
  <c r="B35" i="73"/>
  <c r="A27" i="73"/>
  <c r="A15" i="73" s="1"/>
  <c r="B19" i="73"/>
  <c r="J16" i="73"/>
  <c r="B16" i="73"/>
  <c r="B15" i="73"/>
  <c r="B14" i="73"/>
  <c r="J14" i="73" s="1"/>
  <c r="J13" i="73"/>
  <c r="B13" i="73"/>
  <c r="B4" i="73"/>
  <c r="B17" i="72"/>
  <c r="B16" i="72"/>
  <c r="B15" i="72"/>
  <c r="A12" i="72"/>
  <c r="B33" i="71"/>
  <c r="J129" i="70"/>
  <c r="J128" i="70"/>
  <c r="J127" i="70"/>
  <c r="J126" i="70"/>
  <c r="J125" i="70"/>
  <c r="J124" i="70"/>
  <c r="B123" i="70"/>
  <c r="J123" i="70" s="1"/>
  <c r="W122" i="70"/>
  <c r="B122" i="70" s="1"/>
  <c r="J122" i="70" s="1"/>
  <c r="U122" i="70"/>
  <c r="U121" i="70"/>
  <c r="W121" i="70" s="1"/>
  <c r="B121" i="70" s="1"/>
  <c r="J121" i="70" s="1"/>
  <c r="U120" i="70"/>
  <c r="W120" i="70" s="1"/>
  <c r="B120" i="70" s="1"/>
  <c r="J120" i="70" s="1"/>
  <c r="U119" i="70"/>
  <c r="B119" i="70" s="1"/>
  <c r="J119" i="70" s="1"/>
  <c r="U118" i="70"/>
  <c r="W118" i="70" s="1"/>
  <c r="B118" i="70" s="1"/>
  <c r="J118" i="70" s="1"/>
  <c r="B117" i="70"/>
  <c r="J117" i="70" s="1"/>
  <c r="B115" i="70"/>
  <c r="J115" i="70" s="1"/>
  <c r="B114" i="70"/>
  <c r="J114" i="70" s="1"/>
  <c r="B112" i="70"/>
  <c r="J112" i="70" s="1"/>
  <c r="B111" i="70"/>
  <c r="B113" i="70" s="1"/>
  <c r="J113" i="70" s="1"/>
  <c r="A110" i="70"/>
  <c r="J99" i="70"/>
  <c r="J98" i="70"/>
  <c r="J97" i="70"/>
  <c r="J96" i="70"/>
  <c r="J95" i="70"/>
  <c r="J94" i="70"/>
  <c r="B93" i="70"/>
  <c r="J93" i="70" s="1"/>
  <c r="W92" i="70"/>
  <c r="B92" i="70" s="1"/>
  <c r="J92" i="70" s="1"/>
  <c r="U92" i="70"/>
  <c r="U91" i="70"/>
  <c r="W91" i="70" s="1"/>
  <c r="B91" i="70" s="1"/>
  <c r="J91" i="70" s="1"/>
  <c r="W90" i="70"/>
  <c r="B90" i="70" s="1"/>
  <c r="J90" i="70" s="1"/>
  <c r="U90" i="70"/>
  <c r="U89" i="70"/>
  <c r="B89" i="70"/>
  <c r="J89" i="70" s="1"/>
  <c r="U88" i="70"/>
  <c r="W88" i="70" s="1"/>
  <c r="B88" i="70" s="1"/>
  <c r="J88" i="70" s="1"/>
  <c r="B87" i="70"/>
  <c r="J87" i="70" s="1"/>
  <c r="B80" i="70"/>
  <c r="J80" i="70" s="1"/>
  <c r="B79" i="70"/>
  <c r="J79" i="70" s="1"/>
  <c r="J78" i="70"/>
  <c r="B78" i="70"/>
  <c r="B81" i="70" s="1"/>
  <c r="J81" i="70" s="1"/>
  <c r="A77" i="70"/>
  <c r="J66" i="70"/>
  <c r="J65" i="70"/>
  <c r="J64" i="70"/>
  <c r="J63" i="70"/>
  <c r="J62" i="70"/>
  <c r="J61" i="70"/>
  <c r="J60" i="70"/>
  <c r="B60" i="70"/>
  <c r="U59" i="70"/>
  <c r="W59" i="70" s="1"/>
  <c r="B59" i="70" s="1"/>
  <c r="J59" i="70" s="1"/>
  <c r="U58" i="70"/>
  <c r="W58" i="70" s="1"/>
  <c r="B58" i="70" s="1"/>
  <c r="J58" i="70" s="1"/>
  <c r="W57" i="70"/>
  <c r="B57" i="70" s="1"/>
  <c r="J57" i="70" s="1"/>
  <c r="U57" i="70"/>
  <c r="U56" i="70"/>
  <c r="B56" i="70" s="1"/>
  <c r="J56" i="70" s="1"/>
  <c r="U55" i="70"/>
  <c r="W55" i="70" s="1"/>
  <c r="B55" i="70" s="1"/>
  <c r="J55" i="70" s="1"/>
  <c r="B54" i="70"/>
  <c r="J54" i="70" s="1"/>
  <c r="B48" i="70"/>
  <c r="B52" i="70" s="1"/>
  <c r="J52" i="70" s="1"/>
  <c r="B47" i="70"/>
  <c r="J47" i="70" s="1"/>
  <c r="A46" i="70"/>
  <c r="J35" i="70"/>
  <c r="J34" i="70"/>
  <c r="J33" i="70"/>
  <c r="J32" i="70"/>
  <c r="J31" i="70"/>
  <c r="J30" i="70"/>
  <c r="J29" i="70"/>
  <c r="B29" i="70"/>
  <c r="U28" i="70"/>
  <c r="W28" i="70" s="1"/>
  <c r="B28" i="70" s="1"/>
  <c r="J28" i="70" s="1"/>
  <c r="U27" i="70"/>
  <c r="W27" i="70" s="1"/>
  <c r="B27" i="70" s="1"/>
  <c r="J27" i="70" s="1"/>
  <c r="U26" i="70"/>
  <c r="W26" i="70" s="1"/>
  <c r="B26" i="70" s="1"/>
  <c r="J26" i="70" s="1"/>
  <c r="U25" i="70"/>
  <c r="B25" i="70" s="1"/>
  <c r="J25" i="70" s="1"/>
  <c r="U24" i="70"/>
  <c r="W24" i="70" s="1"/>
  <c r="B24" i="70" s="1"/>
  <c r="J24" i="70" s="1"/>
  <c r="B23" i="70"/>
  <c r="J23" i="70" s="1"/>
  <c r="T22" i="70"/>
  <c r="J22" i="70"/>
  <c r="B22" i="70"/>
  <c r="A22" i="70"/>
  <c r="T21" i="70"/>
  <c r="J21" i="70"/>
  <c r="A21" i="70"/>
  <c r="J20" i="70"/>
  <c r="B19" i="70"/>
  <c r="J19" i="70" s="1"/>
  <c r="A19" i="70"/>
  <c r="B18" i="70"/>
  <c r="J18" i="70" s="1"/>
  <c r="A18" i="70"/>
  <c r="J17" i="70"/>
  <c r="A17" i="70"/>
  <c r="J16" i="70"/>
  <c r="A16" i="70"/>
  <c r="J15" i="70"/>
  <c r="J14" i="70"/>
  <c r="J13" i="70"/>
  <c r="A12" i="70"/>
  <c r="B50" i="70" l="1"/>
  <c r="J50" i="70" s="1"/>
  <c r="B82" i="70"/>
  <c r="J82" i="70" s="1"/>
  <c r="J111" i="70"/>
  <c r="B85" i="70"/>
  <c r="J85" i="70" s="1"/>
  <c r="B86" i="70"/>
  <c r="J86" i="70" s="1"/>
  <c r="B49" i="70"/>
  <c r="J49" i="70" s="1"/>
  <c r="M395" i="75"/>
  <c r="L395" i="75"/>
  <c r="I395" i="75"/>
  <c r="M25" i="75"/>
  <c r="L25" i="75"/>
  <c r="N53" i="74"/>
  <c r="M53" i="74"/>
  <c r="B152" i="86"/>
  <c r="I152" i="86" s="1"/>
  <c r="B147" i="86"/>
  <c r="I154" i="86"/>
  <c r="M58" i="74"/>
  <c r="N58" i="74"/>
  <c r="M240" i="75"/>
  <c r="L240" i="75"/>
  <c r="I240" i="75"/>
  <c r="L28" i="75"/>
  <c r="I28" i="75"/>
  <c r="M28" i="75"/>
  <c r="M32" i="75"/>
  <c r="L32" i="75"/>
  <c r="I32" i="75"/>
  <c r="M37" i="75"/>
  <c r="L37" i="75"/>
  <c r="M39" i="75"/>
  <c r="L39" i="75"/>
  <c r="I39" i="75"/>
  <c r="M60" i="75"/>
  <c r="L60" i="75"/>
  <c r="I62" i="75"/>
  <c r="L281" i="75"/>
  <c r="I281" i="75"/>
  <c r="M281" i="75"/>
  <c r="M379" i="75"/>
  <c r="I379" i="75"/>
  <c r="M394" i="75"/>
  <c r="L394" i="75"/>
  <c r="I394" i="75"/>
  <c r="M475" i="75"/>
  <c r="L475" i="75"/>
  <c r="I475" i="75"/>
  <c r="J48" i="70"/>
  <c r="M54" i="74"/>
  <c r="I27" i="75"/>
  <c r="M30" i="75"/>
  <c r="I37" i="75"/>
  <c r="I60" i="75"/>
  <c r="M227" i="75"/>
  <c r="L227" i="75"/>
  <c r="M323" i="75"/>
  <c r="I323" i="75"/>
  <c r="L380" i="75"/>
  <c r="I380" i="75"/>
  <c r="M380" i="75"/>
  <c r="M412" i="75"/>
  <c r="I412" i="75"/>
  <c r="M425" i="75"/>
  <c r="L425" i="75"/>
  <c r="I425" i="75"/>
  <c r="Q20" i="78"/>
  <c r="P216" i="86"/>
  <c r="I216" i="86"/>
  <c r="B12" i="94"/>
  <c r="I45" i="94"/>
  <c r="B40" i="94"/>
  <c r="B53" i="70"/>
  <c r="J53" i="70" s="1"/>
  <c r="L27" i="75"/>
  <c r="M268" i="75"/>
  <c r="L268" i="75"/>
  <c r="I268" i="75"/>
  <c r="I349" i="75"/>
  <c r="Z350" i="75"/>
  <c r="Q350" i="75" s="1"/>
  <c r="R350" i="75" s="1"/>
  <c r="N33" i="102"/>
  <c r="M282" i="75"/>
  <c r="L282" i="75"/>
  <c r="I282" i="75"/>
  <c r="B83" i="70"/>
  <c r="J83" i="70" s="1"/>
  <c r="B116" i="70"/>
  <c r="J116" i="70" s="1"/>
  <c r="I26" i="75"/>
  <c r="L29" i="75"/>
  <c r="I31" i="75"/>
  <c r="L166" i="75"/>
  <c r="I166" i="75"/>
  <c r="M166" i="75"/>
  <c r="M377" i="75"/>
  <c r="L377" i="75"/>
  <c r="I377" i="75"/>
  <c r="M396" i="75"/>
  <c r="I396" i="75"/>
  <c r="M450" i="75"/>
  <c r="I450" i="75"/>
  <c r="R164" i="75"/>
  <c r="R163" i="75"/>
  <c r="R165" i="75"/>
  <c r="M71" i="74"/>
  <c r="M107" i="74"/>
  <c r="L26" i="75"/>
  <c r="L31" i="75"/>
  <c r="L33" i="75"/>
  <c r="I33" i="75"/>
  <c r="M52" i="75"/>
  <c r="L52" i="75"/>
  <c r="I306" i="75"/>
  <c r="L306" i="75"/>
  <c r="I337" i="75"/>
  <c r="M337" i="75"/>
  <c r="M378" i="75"/>
  <c r="L378" i="75"/>
  <c r="I378" i="75"/>
  <c r="L397" i="75"/>
  <c r="I397" i="75"/>
  <c r="M397" i="75"/>
  <c r="M410" i="75"/>
  <c r="I410" i="75"/>
  <c r="I248" i="86"/>
  <c r="B247" i="86"/>
  <c r="B51" i="70"/>
  <c r="J51" i="70" s="1"/>
  <c r="B84" i="70"/>
  <c r="J84" i="70" s="1"/>
  <c r="M34" i="75"/>
  <c r="I34" i="75"/>
  <c r="L36" i="75"/>
  <c r="M36" i="75"/>
  <c r="I36" i="75"/>
  <c r="I52" i="75"/>
  <c r="M56" i="75"/>
  <c r="L56" i="75"/>
  <c r="I56" i="75"/>
  <c r="I64" i="75"/>
  <c r="M178" i="75"/>
  <c r="I178" i="75"/>
  <c r="M392" i="75"/>
  <c r="I392" i="75"/>
  <c r="I411" i="75"/>
  <c r="I488" i="75"/>
  <c r="L488" i="75"/>
  <c r="I329" i="86"/>
  <c r="B324" i="86"/>
  <c r="M179" i="75"/>
  <c r="I179" i="75"/>
  <c r="M255" i="75"/>
  <c r="I255" i="75"/>
  <c r="M324" i="75"/>
  <c r="I324" i="75"/>
  <c r="M57" i="75"/>
  <c r="L57" i="75"/>
  <c r="I57" i="75"/>
  <c r="Q162" i="75"/>
  <c r="R162" i="75" s="1"/>
  <c r="I227" i="75"/>
  <c r="M241" i="75"/>
  <c r="L241" i="75"/>
  <c r="I280" i="75"/>
  <c r="L280" i="75"/>
  <c r="I322" i="75"/>
  <c r="M322" i="75"/>
  <c r="L379" i="75"/>
  <c r="L393" i="75"/>
  <c r="I393" i="75"/>
  <c r="M393" i="75"/>
  <c r="I424" i="75"/>
  <c r="L424" i="75"/>
  <c r="M489" i="75"/>
  <c r="L489" i="75"/>
  <c r="I489" i="75"/>
  <c r="B260" i="86"/>
  <c r="I260" i="86" s="1"/>
  <c r="B259" i="86"/>
  <c r="B167" i="86"/>
  <c r="I167" i="86" s="1"/>
  <c r="I239" i="75"/>
  <c r="B55" i="85"/>
  <c r="J55" i="85" s="1"/>
  <c r="O32" i="92"/>
  <c r="I59" i="75"/>
  <c r="B101" i="75"/>
  <c r="B180" i="75"/>
  <c r="I45" i="89"/>
  <c r="B40" i="89"/>
  <c r="B258" i="91"/>
  <c r="I259" i="91"/>
  <c r="M59" i="75"/>
  <c r="N32" i="87"/>
  <c r="B259" i="96"/>
  <c r="I260" i="96"/>
  <c r="J12" i="100"/>
  <c r="B7" i="100"/>
  <c r="B24" i="97" s="1"/>
  <c r="O32" i="97" s="1"/>
  <c r="L451" i="75"/>
  <c r="L30" i="76"/>
  <c r="I138" i="96"/>
  <c r="B133" i="96"/>
  <c r="B109" i="96" s="1"/>
  <c r="I109" i="96" s="1"/>
  <c r="Q13" i="88"/>
  <c r="B13" i="88" s="1"/>
  <c r="I13" i="88" s="1"/>
  <c r="B42" i="96"/>
  <c r="I42" i="96" s="1"/>
  <c r="I55" i="96"/>
  <c r="I233" i="96"/>
  <c r="I45" i="99"/>
  <c r="B40" i="99"/>
  <c r="I260" i="106"/>
  <c r="B259" i="106"/>
  <c r="B43" i="90"/>
  <c r="B323" i="91"/>
  <c r="B100" i="93"/>
  <c r="B179" i="101"/>
  <c r="I259" i="101"/>
  <c r="B254" i="101"/>
  <c r="B234" i="101" s="1"/>
  <c r="I138" i="106"/>
  <c r="I247" i="106"/>
  <c r="B101" i="93"/>
  <c r="I101" i="93" s="1"/>
  <c r="B43" i="98"/>
  <c r="I43" i="98" s="1"/>
  <c r="I42" i="98"/>
  <c r="P138" i="101"/>
  <c r="B138" i="101" s="1"/>
  <c r="I152" i="101"/>
  <c r="I167" i="101"/>
  <c r="B162" i="101"/>
  <c r="I100" i="98"/>
  <c r="B242" i="101"/>
  <c r="B235" i="101" s="1"/>
  <c r="I235" i="101" s="1"/>
  <c r="B271" i="101"/>
  <c r="I101" i="103"/>
  <c r="B100" i="103"/>
  <c r="B36" i="105"/>
  <c r="J36" i="105" s="1"/>
  <c r="I308" i="106"/>
  <c r="B324" i="101"/>
  <c r="B34" i="105"/>
  <c r="J34" i="105" s="1"/>
  <c r="I13" i="104"/>
  <c r="B211" i="106"/>
  <c r="I259" i="86" l="1"/>
  <c r="B254" i="86"/>
  <c r="B234" i="86" s="1"/>
  <c r="B254" i="106"/>
  <c r="B234" i="106" s="1"/>
  <c r="I234" i="106" s="1"/>
  <c r="I259" i="106"/>
  <c r="B254" i="96"/>
  <c r="B234" i="96" s="1"/>
  <c r="I234" i="96" s="1"/>
  <c r="I259" i="96"/>
  <c r="I234" i="101"/>
  <c r="B233" i="101"/>
  <c r="I100" i="93"/>
  <c r="B95" i="93"/>
  <c r="B95" i="103"/>
  <c r="I100" i="103"/>
  <c r="B133" i="101"/>
  <c r="B109" i="101" s="1"/>
  <c r="I109" i="101" s="1"/>
  <c r="I138" i="101"/>
  <c r="B253" i="91"/>
  <c r="B233" i="91" s="1"/>
  <c r="I233" i="91" s="1"/>
  <c r="I258" i="91"/>
  <c r="B242" i="86"/>
  <c r="B235" i="86" s="1"/>
  <c r="I235" i="86" s="1"/>
  <c r="I247" i="86"/>
  <c r="I12" i="94"/>
  <c r="B7" i="94"/>
  <c r="I233" i="101" l="1"/>
  <c r="B228" i="101"/>
  <c r="I234" i="86"/>
  <c r="B233" i="86"/>
  <c r="B228" i="86" l="1"/>
  <c r="B153" i="86"/>
  <c r="I153" i="86" s="1"/>
  <c r="I233" i="86"/>
  <c r="B58" i="69" l="1"/>
  <c r="B57" i="69"/>
  <c r="B45" i="69"/>
  <c r="B44" i="69"/>
  <c r="B43" i="69"/>
  <c r="B31" i="69"/>
  <c r="A16" i="67" s="1"/>
  <c r="B30" i="69"/>
  <c r="B29" i="69"/>
  <c r="B17" i="69"/>
  <c r="B15" i="69"/>
  <c r="B16" i="69" s="1"/>
  <c r="A12" i="69"/>
  <c r="B72" i="68"/>
  <c r="A71" i="68"/>
  <c r="A70" i="68"/>
  <c r="A69" i="68"/>
  <c r="A68" i="68"/>
  <c r="A67" i="68"/>
  <c r="B56" i="68"/>
  <c r="B44" i="68"/>
  <c r="B43" i="68" s="1"/>
  <c r="B29" i="68"/>
  <c r="B30" i="68" s="1"/>
  <c r="B13" i="68"/>
  <c r="A18" i="67"/>
  <c r="A17" i="67"/>
  <c r="A15" i="67"/>
  <c r="A14" i="67"/>
  <c r="A13" i="67"/>
  <c r="A12" i="67"/>
  <c r="G120" i="53"/>
  <c r="E120" i="53"/>
  <c r="I362" i="66" l="1"/>
  <c r="B362" i="66"/>
  <c r="R361" i="66"/>
  <c r="B361" i="66" s="1"/>
  <c r="I361" i="66" s="1"/>
  <c r="R360" i="66"/>
  <c r="B360" i="66" s="1"/>
  <c r="I360" i="66" s="1"/>
  <c r="R359" i="66"/>
  <c r="B359" i="66" s="1"/>
  <c r="I359" i="66" s="1"/>
  <c r="R358" i="66"/>
  <c r="B358" i="66"/>
  <c r="I358" i="66" s="1"/>
  <c r="I357" i="66"/>
  <c r="B357" i="66"/>
  <c r="I356" i="66"/>
  <c r="B356" i="66"/>
  <c r="B355" i="66"/>
  <c r="I355" i="66" s="1"/>
  <c r="R354" i="66"/>
  <c r="B354" i="66"/>
  <c r="I354" i="66" s="1"/>
  <c r="B353" i="66"/>
  <c r="I353" i="66" s="1"/>
  <c r="I352" i="66"/>
  <c r="B352" i="66"/>
  <c r="B351" i="66"/>
  <c r="I351" i="66" s="1"/>
  <c r="B346" i="66"/>
  <c r="I340" i="66"/>
  <c r="B340" i="66"/>
  <c r="I339" i="66"/>
  <c r="B339" i="66"/>
  <c r="R338" i="66"/>
  <c r="B338" i="66" s="1"/>
  <c r="I338" i="66" s="1"/>
  <c r="R337" i="66"/>
  <c r="B337" i="66" s="1"/>
  <c r="I337" i="66"/>
  <c r="I336" i="66"/>
  <c r="B336" i="66"/>
  <c r="R335" i="66"/>
  <c r="B335" i="66" s="1"/>
  <c r="I335" i="66" s="1"/>
  <c r="B334" i="66"/>
  <c r="I334" i="66" s="1"/>
  <c r="B333" i="66"/>
  <c r="I333" i="66" s="1"/>
  <c r="I332" i="66"/>
  <c r="B332" i="66"/>
  <c r="R331" i="66"/>
  <c r="B331" i="66"/>
  <c r="I331" i="66" s="1"/>
  <c r="I330" i="66"/>
  <c r="B330" i="66"/>
  <c r="I329" i="66"/>
  <c r="B329" i="66"/>
  <c r="B324" i="66" s="1"/>
  <c r="B318" i="66"/>
  <c r="I318" i="66" s="1"/>
  <c r="B317" i="66"/>
  <c r="I317" i="66" s="1"/>
  <c r="B316" i="66"/>
  <c r="I316" i="66" s="1"/>
  <c r="I315" i="66"/>
  <c r="B315" i="66"/>
  <c r="I314" i="66"/>
  <c r="B314" i="66"/>
  <c r="B313" i="66"/>
  <c r="I313" i="66" s="1"/>
  <c r="B312" i="66"/>
  <c r="I312" i="66" s="1"/>
  <c r="I311" i="66"/>
  <c r="B311" i="66"/>
  <c r="I310" i="66"/>
  <c r="B310" i="66"/>
  <c r="B309" i="66"/>
  <c r="I309" i="66" s="1"/>
  <c r="B308" i="66"/>
  <c r="B303" i="66" s="1"/>
  <c r="R297" i="66"/>
  <c r="B297" i="66" s="1"/>
  <c r="I297" i="66" s="1"/>
  <c r="R296" i="66"/>
  <c r="B296" i="66" s="1"/>
  <c r="I296" i="66" s="1"/>
  <c r="I295" i="66"/>
  <c r="B295" i="66"/>
  <c r="T294" i="66"/>
  <c r="I294" i="66"/>
  <c r="B294" i="66"/>
  <c r="P293" i="66"/>
  <c r="I293" i="66"/>
  <c r="P292" i="66"/>
  <c r="I292" i="66"/>
  <c r="S290" i="66"/>
  <c r="B287" i="66"/>
  <c r="R281" i="66"/>
  <c r="B281" i="66"/>
  <c r="I281" i="66" s="1"/>
  <c r="R280" i="66"/>
  <c r="B280" i="66" s="1"/>
  <c r="I280" i="66" s="1"/>
  <c r="R279" i="66"/>
  <c r="B279" i="66" s="1"/>
  <c r="I279" i="66" s="1"/>
  <c r="P278" i="66"/>
  <c r="B278" i="66"/>
  <c r="I278" i="66" s="1"/>
  <c r="B277" i="66"/>
  <c r="I277" i="66" s="1"/>
  <c r="I276" i="66"/>
  <c r="B276" i="66"/>
  <c r="B271" i="66"/>
  <c r="R265" i="66"/>
  <c r="B265" i="66"/>
  <c r="I265" i="66" s="1"/>
  <c r="R264" i="66"/>
  <c r="I264" i="66"/>
  <c r="B264" i="66"/>
  <c r="R263" i="66"/>
  <c r="I263" i="66"/>
  <c r="B263" i="66"/>
  <c r="R262" i="66"/>
  <c r="B262" i="66" s="1"/>
  <c r="I262" i="66" s="1"/>
  <c r="R261" i="66"/>
  <c r="B261" i="66" s="1"/>
  <c r="I261" i="66" s="1"/>
  <c r="I260" i="66"/>
  <c r="B260" i="66"/>
  <c r="B259" i="66"/>
  <c r="S248" i="66"/>
  <c r="B248" i="66" s="1"/>
  <c r="I248" i="66" s="1"/>
  <c r="S247" i="66"/>
  <c r="B247" i="66"/>
  <c r="I247" i="66" s="1"/>
  <c r="B242" i="66"/>
  <c r="B235" i="66" s="1"/>
  <c r="I235" i="66" s="1"/>
  <c r="B236" i="66"/>
  <c r="I236" i="66" s="1"/>
  <c r="B233" i="66"/>
  <c r="R222" i="66"/>
  <c r="B222" i="66" s="1"/>
  <c r="I222" i="66" s="1"/>
  <c r="R221" i="66"/>
  <c r="B221" i="66"/>
  <c r="I221" i="66" s="1"/>
  <c r="R220" i="66"/>
  <c r="B220" i="66" s="1"/>
  <c r="I220" i="66" s="1"/>
  <c r="R219" i="66"/>
  <c r="B219" i="66" s="1"/>
  <c r="I219" i="66" s="1"/>
  <c r="B218" i="66"/>
  <c r="I218" i="66" s="1"/>
  <c r="I217" i="66"/>
  <c r="B216" i="66"/>
  <c r="B211" i="66" s="1"/>
  <c r="R205" i="66"/>
  <c r="B205" i="66" s="1"/>
  <c r="I205" i="66" s="1"/>
  <c r="R204" i="66"/>
  <c r="B204" i="66" s="1"/>
  <c r="I204" i="66"/>
  <c r="I203" i="66"/>
  <c r="B203" i="66"/>
  <c r="P201" i="66"/>
  <c r="I201" i="66"/>
  <c r="T200" i="66"/>
  <c r="B202" i="66" s="1"/>
  <c r="I202" i="66" s="1"/>
  <c r="P200" i="66"/>
  <c r="I200" i="66"/>
  <c r="S197" i="66"/>
  <c r="S196" i="66"/>
  <c r="B195" i="66"/>
  <c r="R189" i="66"/>
  <c r="B189" i="66"/>
  <c r="I189" i="66" s="1"/>
  <c r="R188" i="66"/>
  <c r="I188" i="66"/>
  <c r="B188" i="66"/>
  <c r="R187" i="66"/>
  <c r="B187" i="66" s="1"/>
  <c r="I187" i="66" s="1"/>
  <c r="P186" i="66"/>
  <c r="B186" i="66" s="1"/>
  <c r="I186" i="66"/>
  <c r="I185" i="66"/>
  <c r="B185" i="66"/>
  <c r="I184" i="66"/>
  <c r="B184" i="66"/>
  <c r="B179" i="66" s="1"/>
  <c r="R173" i="66"/>
  <c r="B173" i="66" s="1"/>
  <c r="I173" i="66"/>
  <c r="R172" i="66"/>
  <c r="B172" i="66" s="1"/>
  <c r="I172" i="66" s="1"/>
  <c r="R171" i="66"/>
  <c r="B171" i="66"/>
  <c r="I171" i="66" s="1"/>
  <c r="R170" i="66"/>
  <c r="B170" i="66" s="1"/>
  <c r="I170" i="66" s="1"/>
  <c r="R169" i="66"/>
  <c r="B169" i="66" s="1"/>
  <c r="I169" i="66" s="1"/>
  <c r="P168" i="66"/>
  <c r="B168" i="66"/>
  <c r="I168" i="66" s="1"/>
  <c r="P167" i="66"/>
  <c r="I167" i="66"/>
  <c r="B167" i="66"/>
  <c r="B162" i="66" s="1"/>
  <c r="B156" i="66"/>
  <c r="I156" i="66" s="1"/>
  <c r="R155" i="66"/>
  <c r="I155" i="66"/>
  <c r="B155" i="66"/>
  <c r="P154" i="66"/>
  <c r="B154" i="66" s="1"/>
  <c r="I154" i="66" s="1"/>
  <c r="I153" i="66"/>
  <c r="B153" i="66"/>
  <c r="P152" i="66"/>
  <c r="B152" i="66" s="1"/>
  <c r="B147" i="66" s="1"/>
  <c r="R141" i="66"/>
  <c r="B141" i="66" s="1"/>
  <c r="I141" i="66" s="1"/>
  <c r="R140" i="66"/>
  <c r="B140" i="66"/>
  <c r="I140" i="66" s="1"/>
  <c r="R127" i="66"/>
  <c r="B127" i="66" s="1"/>
  <c r="I127" i="66" s="1"/>
  <c r="R126" i="66"/>
  <c r="B126" i="66" s="1"/>
  <c r="I126" i="66" s="1"/>
  <c r="R125" i="66"/>
  <c r="B125" i="66"/>
  <c r="I125" i="66" s="1"/>
  <c r="R124" i="66"/>
  <c r="I124" i="66"/>
  <c r="B124" i="66"/>
  <c r="R112" i="66"/>
  <c r="B112" i="66" s="1"/>
  <c r="I112" i="66" s="1"/>
  <c r="I111" i="66"/>
  <c r="R110" i="66"/>
  <c r="B110" i="66" s="1"/>
  <c r="I110" i="66" s="1"/>
  <c r="R97" i="66"/>
  <c r="B97" i="66"/>
  <c r="I97" i="66" s="1"/>
  <c r="I84" i="66"/>
  <c r="I83" i="66"/>
  <c r="I82" i="66"/>
  <c r="B77" i="66"/>
  <c r="B69" i="66" s="1"/>
  <c r="R71" i="66"/>
  <c r="B71" i="66"/>
  <c r="I71" i="66" s="1"/>
  <c r="I69" i="66"/>
  <c r="R57" i="66"/>
  <c r="B57" i="66" s="1"/>
  <c r="I57" i="66" s="1"/>
  <c r="R56" i="66"/>
  <c r="B56" i="66"/>
  <c r="I56" i="66" s="1"/>
  <c r="R55" i="66"/>
  <c r="B55" i="66"/>
  <c r="B50" i="66" s="1"/>
  <c r="R44" i="66"/>
  <c r="B44" i="66" s="1"/>
  <c r="I44" i="66" s="1"/>
  <c r="B42" i="66"/>
  <c r="I42" i="66" s="1"/>
  <c r="R30" i="66"/>
  <c r="I30" i="66"/>
  <c r="B30" i="66"/>
  <c r="R29" i="66"/>
  <c r="B29" i="66" s="1"/>
  <c r="I29" i="66" s="1"/>
  <c r="R28" i="66"/>
  <c r="B28" i="66" s="1"/>
  <c r="I28" i="66"/>
  <c r="I27" i="66"/>
  <c r="B27" i="66"/>
  <c r="R15" i="66"/>
  <c r="B15" i="66" s="1"/>
  <c r="I15" i="66" s="1"/>
  <c r="B7" i="66"/>
  <c r="J57" i="65"/>
  <c r="B57" i="65"/>
  <c r="J56" i="65"/>
  <c r="B56" i="65"/>
  <c r="J55" i="65"/>
  <c r="B55" i="65"/>
  <c r="S54" i="65"/>
  <c r="B54" i="65"/>
  <c r="J54" i="65" s="1"/>
  <c r="S53" i="65"/>
  <c r="J53" i="65"/>
  <c r="B53" i="65"/>
  <c r="S52" i="65"/>
  <c r="B52" i="65" s="1"/>
  <c r="J52" i="65" s="1"/>
  <c r="B51" i="65"/>
  <c r="J51" i="65" s="1"/>
  <c r="S50" i="65"/>
  <c r="J50" i="65"/>
  <c r="B50" i="65"/>
  <c r="J49" i="65"/>
  <c r="B49" i="65"/>
  <c r="B48" i="65"/>
  <c r="J48" i="65" s="1"/>
  <c r="B43" i="65"/>
  <c r="B30" i="65" s="1"/>
  <c r="J30" i="65" s="1"/>
  <c r="S37" i="65"/>
  <c r="J37" i="65"/>
  <c r="B37" i="65"/>
  <c r="S36" i="65"/>
  <c r="S35" i="65"/>
  <c r="B36" i="65" s="1"/>
  <c r="J36" i="65" s="1"/>
  <c r="J34" i="65"/>
  <c r="B34" i="65"/>
  <c r="J33" i="65"/>
  <c r="B33" i="65"/>
  <c r="S32" i="65"/>
  <c r="B32" i="65"/>
  <c r="J32" i="65" s="1"/>
  <c r="B31" i="65"/>
  <c r="J31" i="65" s="1"/>
  <c r="B19" i="65"/>
  <c r="S18" i="65"/>
  <c r="B18" i="65"/>
  <c r="J18" i="65" s="1"/>
  <c r="B17" i="65"/>
  <c r="J17" i="65" s="1"/>
  <c r="S16" i="65"/>
  <c r="B16" i="65" s="1"/>
  <c r="J16" i="65" s="1"/>
  <c r="B15" i="65"/>
  <c r="J15" i="65" s="1"/>
  <c r="J14" i="65"/>
  <c r="B14" i="65"/>
  <c r="J12" i="65"/>
  <c r="B12" i="65"/>
  <c r="B7" i="65" s="1"/>
  <c r="I47" i="64"/>
  <c r="I46" i="64"/>
  <c r="B45" i="64"/>
  <c r="R34" i="64"/>
  <c r="B34" i="64" s="1"/>
  <c r="I34" i="64" s="1"/>
  <c r="R33" i="64"/>
  <c r="B33" i="64"/>
  <c r="I33" i="64" s="1"/>
  <c r="R32" i="64"/>
  <c r="B32" i="64" s="1"/>
  <c r="I32" i="64" s="1"/>
  <c r="R31" i="64"/>
  <c r="B31" i="64" s="1"/>
  <c r="I31" i="64" s="1"/>
  <c r="B30" i="64"/>
  <c r="I30" i="64" s="1"/>
  <c r="I29" i="64"/>
  <c r="P28" i="64"/>
  <c r="I28" i="64"/>
  <c r="B23" i="64"/>
  <c r="Q17" i="64"/>
  <c r="B17" i="64" s="1"/>
  <c r="I17" i="64" s="1"/>
  <c r="Q16" i="64"/>
  <c r="B16" i="64" s="1"/>
  <c r="I16" i="64" s="1"/>
  <c r="U15" i="64"/>
  <c r="B14" i="64" s="1"/>
  <c r="I14" i="64" s="1"/>
  <c r="Q15" i="64"/>
  <c r="B15" i="64" s="1"/>
  <c r="I15" i="64" s="1"/>
  <c r="B13" i="64"/>
  <c r="I13" i="64" s="1"/>
  <c r="T11" i="64"/>
  <c r="B7" i="64"/>
  <c r="I62" i="63"/>
  <c r="B61" i="63"/>
  <c r="I61" i="63" s="1"/>
  <c r="R60" i="63"/>
  <c r="B60" i="63" s="1"/>
  <c r="I60" i="63" s="1"/>
  <c r="I59" i="63"/>
  <c r="B54" i="63"/>
  <c r="R48" i="63"/>
  <c r="B48" i="63"/>
  <c r="I48" i="63" s="1"/>
  <c r="I47" i="63"/>
  <c r="B47" i="63"/>
  <c r="R46" i="63"/>
  <c r="B46" i="63" s="1"/>
  <c r="I46" i="63" s="1"/>
  <c r="R45" i="63"/>
  <c r="B45" i="63"/>
  <c r="I45" i="63" s="1"/>
  <c r="I44" i="63"/>
  <c r="B44" i="63"/>
  <c r="I43" i="63"/>
  <c r="I42" i="63"/>
  <c r="O36" i="63"/>
  <c r="Q107" i="66" s="1"/>
  <c r="R31" i="63"/>
  <c r="B31" i="63"/>
  <c r="I31" i="63" s="1"/>
  <c r="I30" i="63"/>
  <c r="B30" i="63"/>
  <c r="R29" i="63"/>
  <c r="B29" i="63" s="1"/>
  <c r="I29" i="63" s="1"/>
  <c r="I28" i="63"/>
  <c r="B23" i="63"/>
  <c r="Q17" i="63"/>
  <c r="B17" i="63" s="1"/>
  <c r="I17" i="63" s="1"/>
  <c r="Q16" i="63"/>
  <c r="B16" i="63" s="1"/>
  <c r="I16" i="63" s="1"/>
  <c r="I15" i="63"/>
  <c r="B15" i="63"/>
  <c r="B14" i="63"/>
  <c r="I14" i="63" s="1"/>
  <c r="P13" i="63"/>
  <c r="R13" i="63" s="1"/>
  <c r="B13" i="63" s="1"/>
  <c r="I13" i="63" s="1"/>
  <c r="I12" i="63"/>
  <c r="B7" i="63"/>
  <c r="B28" i="62"/>
  <c r="Z27" i="62"/>
  <c r="B27" i="62"/>
  <c r="Z26" i="62"/>
  <c r="B26" i="62" s="1"/>
  <c r="Z25" i="62"/>
  <c r="B25" i="62" s="1"/>
  <c r="Z24" i="62"/>
  <c r="B24" i="62"/>
  <c r="Z23" i="62"/>
  <c r="B23" i="62"/>
  <c r="Z22" i="62"/>
  <c r="B22" i="62" s="1"/>
  <c r="Z21" i="62"/>
  <c r="B21" i="62" s="1"/>
  <c r="Z20" i="62"/>
  <c r="B20" i="62"/>
  <c r="Z19" i="62"/>
  <c r="B19" i="62"/>
  <c r="Z18" i="62"/>
  <c r="B18" i="62" s="1"/>
  <c r="AB17" i="62"/>
  <c r="Z17" i="62" s="1"/>
  <c r="B17" i="62" s="1"/>
  <c r="Z16" i="62"/>
  <c r="B16" i="62" s="1"/>
  <c r="Z15" i="62"/>
  <c r="B15" i="62" s="1"/>
  <c r="Z14" i="62"/>
  <c r="B14" i="62"/>
  <c r="Z13" i="62"/>
  <c r="B13" i="62"/>
  <c r="N1" i="62"/>
  <c r="B362" i="61"/>
  <c r="I362" i="61" s="1"/>
  <c r="R361" i="61"/>
  <c r="B361" i="61" s="1"/>
  <c r="I361" i="61" s="1"/>
  <c r="R360" i="61"/>
  <c r="B360" i="61"/>
  <c r="I360" i="61" s="1"/>
  <c r="R359" i="61"/>
  <c r="I359" i="61"/>
  <c r="B359" i="61"/>
  <c r="R358" i="61"/>
  <c r="B358" i="61" s="1"/>
  <c r="I358" i="61" s="1"/>
  <c r="B357" i="61"/>
  <c r="I357" i="61" s="1"/>
  <c r="B356" i="61"/>
  <c r="I356" i="61" s="1"/>
  <c r="I355" i="61"/>
  <c r="B355" i="61"/>
  <c r="R354" i="61"/>
  <c r="B354" i="61"/>
  <c r="I354" i="61" s="1"/>
  <c r="I353" i="61"/>
  <c r="B353" i="61"/>
  <c r="I352" i="61"/>
  <c r="B352" i="61"/>
  <c r="B351" i="61"/>
  <c r="I351" i="61" s="1"/>
  <c r="B340" i="61"/>
  <c r="I340" i="61" s="1"/>
  <c r="B339" i="61"/>
  <c r="I339" i="61" s="1"/>
  <c r="R338" i="61"/>
  <c r="B338" i="61" s="1"/>
  <c r="I338" i="61" s="1"/>
  <c r="R337" i="61"/>
  <c r="B337" i="61"/>
  <c r="I337" i="61" s="1"/>
  <c r="B336" i="61"/>
  <c r="I336" i="61" s="1"/>
  <c r="R335" i="61"/>
  <c r="B335" i="61" s="1"/>
  <c r="I335" i="61" s="1"/>
  <c r="B334" i="61"/>
  <c r="I334" i="61" s="1"/>
  <c r="I333" i="61"/>
  <c r="B333" i="61"/>
  <c r="I332" i="61"/>
  <c r="B332" i="61"/>
  <c r="R331" i="61"/>
  <c r="B331" i="61" s="1"/>
  <c r="I331" i="61" s="1"/>
  <c r="B330" i="61"/>
  <c r="I330" i="61" s="1"/>
  <c r="B329" i="61"/>
  <c r="B318" i="61"/>
  <c r="I318" i="61" s="1"/>
  <c r="B317" i="61"/>
  <c r="I317" i="61" s="1"/>
  <c r="I316" i="61"/>
  <c r="B316" i="61"/>
  <c r="I315" i="61"/>
  <c r="B315" i="61"/>
  <c r="B314" i="61"/>
  <c r="I314" i="61" s="1"/>
  <c r="B313" i="61"/>
  <c r="I313" i="61" s="1"/>
  <c r="I312" i="61"/>
  <c r="B312" i="61"/>
  <c r="I311" i="61"/>
  <c r="B311" i="61"/>
  <c r="B310" i="61"/>
  <c r="I310" i="61" s="1"/>
  <c r="B309" i="61"/>
  <c r="I309" i="61" s="1"/>
  <c r="I308" i="61"/>
  <c r="B308" i="61"/>
  <c r="B303" i="61"/>
  <c r="R297" i="61"/>
  <c r="B297" i="61" s="1"/>
  <c r="I297" i="61" s="1"/>
  <c r="R296" i="61"/>
  <c r="B296" i="61"/>
  <c r="I296" i="61" s="1"/>
  <c r="B295" i="61"/>
  <c r="I295" i="61" s="1"/>
  <c r="B294" i="61"/>
  <c r="I294" i="61" s="1"/>
  <c r="P293" i="61"/>
  <c r="I293" i="61"/>
  <c r="P292" i="61"/>
  <c r="I292" i="61"/>
  <c r="S291" i="61"/>
  <c r="T294" i="61" s="1"/>
  <c r="S290" i="61"/>
  <c r="B287" i="61"/>
  <c r="R281" i="61"/>
  <c r="B281" i="61"/>
  <c r="I281" i="61" s="1"/>
  <c r="R280" i="61"/>
  <c r="B280" i="61"/>
  <c r="I280" i="61" s="1"/>
  <c r="R279" i="61"/>
  <c r="B279" i="61" s="1"/>
  <c r="I279" i="61" s="1"/>
  <c r="P278" i="61"/>
  <c r="B278" i="61"/>
  <c r="I278" i="61" s="1"/>
  <c r="B277" i="61"/>
  <c r="I277" i="61" s="1"/>
  <c r="I276" i="61"/>
  <c r="B276" i="61"/>
  <c r="B271" i="61"/>
  <c r="R265" i="61"/>
  <c r="B265" i="61"/>
  <c r="I265" i="61" s="1"/>
  <c r="R264" i="61"/>
  <c r="I264" i="61"/>
  <c r="B264" i="61"/>
  <c r="R263" i="61"/>
  <c r="B263" i="61" s="1"/>
  <c r="I263" i="61" s="1"/>
  <c r="R262" i="61"/>
  <c r="B262" i="61" s="1"/>
  <c r="I262" i="61" s="1"/>
  <c r="R261" i="61"/>
  <c r="B261" i="61" s="1"/>
  <c r="I261" i="61" s="1"/>
  <c r="P260" i="61"/>
  <c r="B260" i="61"/>
  <c r="I260" i="61" s="1"/>
  <c r="S248" i="61"/>
  <c r="B248" i="61"/>
  <c r="I248" i="61" s="1"/>
  <c r="S247" i="61"/>
  <c r="B247" i="61"/>
  <c r="I236" i="61"/>
  <c r="B236" i="61"/>
  <c r="R222" i="61"/>
  <c r="B222" i="61"/>
  <c r="I222" i="61" s="1"/>
  <c r="R221" i="61"/>
  <c r="I221" i="61"/>
  <c r="B221" i="61"/>
  <c r="R220" i="61"/>
  <c r="B220" i="61" s="1"/>
  <c r="I220" i="61" s="1"/>
  <c r="R219" i="61"/>
  <c r="B219" i="61" s="1"/>
  <c r="I219" i="61" s="1"/>
  <c r="I218" i="61"/>
  <c r="B218" i="61"/>
  <c r="I217" i="61"/>
  <c r="I216" i="61"/>
  <c r="B216" i="61"/>
  <c r="B211" i="61"/>
  <c r="R205" i="61"/>
  <c r="B205" i="61" s="1"/>
  <c r="I205" i="61" s="1"/>
  <c r="R204" i="61"/>
  <c r="B204" i="61" s="1"/>
  <c r="I204" i="61" s="1"/>
  <c r="B203" i="61"/>
  <c r="I203" i="61" s="1"/>
  <c r="P201" i="61"/>
  <c r="I201" i="61"/>
  <c r="P200" i="61"/>
  <c r="I200" i="61"/>
  <c r="S196" i="61"/>
  <c r="S197" i="61" s="1"/>
  <c r="T200" i="61" s="1"/>
  <c r="B202" i="61" s="1"/>
  <c r="I202" i="61" s="1"/>
  <c r="B195" i="61"/>
  <c r="R189" i="61"/>
  <c r="B189" i="61" s="1"/>
  <c r="I189" i="61" s="1"/>
  <c r="R188" i="61"/>
  <c r="B188" i="61"/>
  <c r="I188" i="61" s="1"/>
  <c r="R187" i="61"/>
  <c r="B187" i="61"/>
  <c r="I187" i="61" s="1"/>
  <c r="P186" i="61"/>
  <c r="B186" i="61" s="1"/>
  <c r="I186" i="61" s="1"/>
  <c r="B185" i="61"/>
  <c r="I185" i="61" s="1"/>
  <c r="I184" i="61"/>
  <c r="B184" i="61"/>
  <c r="B179" i="61"/>
  <c r="R173" i="61"/>
  <c r="B173" i="61" s="1"/>
  <c r="I173" i="61" s="1"/>
  <c r="R172" i="61"/>
  <c r="B172" i="61"/>
  <c r="I172" i="61" s="1"/>
  <c r="R171" i="61"/>
  <c r="I171" i="61"/>
  <c r="B171" i="61"/>
  <c r="R170" i="61"/>
  <c r="B170" i="61" s="1"/>
  <c r="I170" i="61" s="1"/>
  <c r="R169" i="61"/>
  <c r="B169" i="61" s="1"/>
  <c r="I169" i="61"/>
  <c r="I168" i="61"/>
  <c r="B168" i="61"/>
  <c r="B167" i="61"/>
  <c r="I167" i="61" s="1"/>
  <c r="B156" i="61"/>
  <c r="I156" i="61" s="1"/>
  <c r="R155" i="61"/>
  <c r="I155" i="61"/>
  <c r="B155" i="61"/>
  <c r="B154" i="61"/>
  <c r="I154" i="61" s="1"/>
  <c r="B153" i="61"/>
  <c r="I153" i="61" s="1"/>
  <c r="I152" i="61"/>
  <c r="B152" i="61"/>
  <c r="B147" i="61"/>
  <c r="R141" i="61"/>
  <c r="B141" i="61" s="1"/>
  <c r="I141" i="61" s="1"/>
  <c r="R140" i="61"/>
  <c r="B140" i="61"/>
  <c r="I140" i="61" s="1"/>
  <c r="P139" i="61"/>
  <c r="I139" i="61"/>
  <c r="B139" i="61"/>
  <c r="P138" i="61"/>
  <c r="B138" i="61"/>
  <c r="I138" i="61" s="1"/>
  <c r="B133" i="61"/>
  <c r="B109" i="61" s="1"/>
  <c r="I109" i="61" s="1"/>
  <c r="R127" i="61"/>
  <c r="B127" i="61" s="1"/>
  <c r="I127" i="61" s="1"/>
  <c r="R126" i="61"/>
  <c r="B126" i="61"/>
  <c r="I126" i="61" s="1"/>
  <c r="R125" i="61"/>
  <c r="B125" i="61"/>
  <c r="I125" i="61" s="1"/>
  <c r="R124" i="61"/>
  <c r="I124" i="61"/>
  <c r="B124" i="61"/>
  <c r="R112" i="61"/>
  <c r="B112" i="61" s="1"/>
  <c r="I112" i="61" s="1"/>
  <c r="I111" i="61"/>
  <c r="T110" i="61"/>
  <c r="B110" i="61" s="1"/>
  <c r="I110" i="61" s="1"/>
  <c r="R110" i="61"/>
  <c r="R97" i="61"/>
  <c r="B97" i="61"/>
  <c r="I97" i="61" s="1"/>
  <c r="I84" i="61"/>
  <c r="I83" i="61"/>
  <c r="I82" i="61"/>
  <c r="B77" i="61"/>
  <c r="R71" i="61"/>
  <c r="B71" i="61"/>
  <c r="I71" i="61" s="1"/>
  <c r="I69" i="61"/>
  <c r="B69" i="61"/>
  <c r="R57" i="61"/>
  <c r="B57" i="61" s="1"/>
  <c r="I57" i="61" s="1"/>
  <c r="R56" i="61"/>
  <c r="B56" i="61"/>
  <c r="I56" i="61" s="1"/>
  <c r="R55" i="61"/>
  <c r="B55" i="61"/>
  <c r="R44" i="61"/>
  <c r="B44" i="61" s="1"/>
  <c r="I44" i="61" s="1"/>
  <c r="R30" i="61"/>
  <c r="B30" i="61" s="1"/>
  <c r="I30" i="61" s="1"/>
  <c r="R29" i="61"/>
  <c r="B29" i="61" s="1"/>
  <c r="I29" i="61" s="1"/>
  <c r="R28" i="61"/>
  <c r="B28" i="61" s="1"/>
  <c r="I28" i="61"/>
  <c r="I27" i="61"/>
  <c r="B27" i="61"/>
  <c r="R15" i="61"/>
  <c r="B15" i="61" s="1"/>
  <c r="I15" i="61" s="1"/>
  <c r="B7" i="61"/>
  <c r="J57" i="60"/>
  <c r="B57" i="60"/>
  <c r="J56" i="60"/>
  <c r="B56" i="60"/>
  <c r="B55" i="60"/>
  <c r="J55" i="60" s="1"/>
  <c r="S54" i="60"/>
  <c r="B54" i="60"/>
  <c r="J54" i="60" s="1"/>
  <c r="S53" i="60"/>
  <c r="B53" i="60" s="1"/>
  <c r="J53" i="60" s="1"/>
  <c r="S52" i="60"/>
  <c r="B52" i="60" s="1"/>
  <c r="J52" i="60" s="1"/>
  <c r="B51" i="60"/>
  <c r="J51" i="60" s="1"/>
  <c r="S50" i="60"/>
  <c r="B50" i="60" s="1"/>
  <c r="J50" i="60"/>
  <c r="B49" i="60"/>
  <c r="J49" i="60" s="1"/>
  <c r="B48" i="60"/>
  <c r="J48" i="60" s="1"/>
  <c r="B43" i="60"/>
  <c r="B12" i="60" s="1"/>
  <c r="B7" i="60" s="1"/>
  <c r="B25" i="57" s="1"/>
  <c r="S37" i="60"/>
  <c r="B37" i="60" s="1"/>
  <c r="J37" i="60" s="1"/>
  <c r="S36" i="60"/>
  <c r="S35" i="60"/>
  <c r="B34" i="60" s="1"/>
  <c r="J34" i="60" s="1"/>
  <c r="B33" i="60"/>
  <c r="J33" i="60" s="1"/>
  <c r="S32" i="60"/>
  <c r="B32" i="60"/>
  <c r="J32" i="60" s="1"/>
  <c r="B31" i="60"/>
  <c r="J31" i="60" s="1"/>
  <c r="B30" i="60"/>
  <c r="J30" i="60" s="1"/>
  <c r="B19" i="60"/>
  <c r="S18" i="60"/>
  <c r="B18" i="60"/>
  <c r="J18" i="60" s="1"/>
  <c r="B17" i="60"/>
  <c r="J17" i="60" s="1"/>
  <c r="S16" i="60"/>
  <c r="B16" i="60"/>
  <c r="J16" i="60" s="1"/>
  <c r="B15" i="60"/>
  <c r="J15" i="60" s="1"/>
  <c r="J14" i="60"/>
  <c r="B14" i="60"/>
  <c r="J12" i="60"/>
  <c r="I47" i="59"/>
  <c r="I46" i="59"/>
  <c r="B45" i="59"/>
  <c r="R34" i="59"/>
  <c r="B34" i="59" s="1"/>
  <c r="I34" i="59" s="1"/>
  <c r="R33" i="59"/>
  <c r="B33" i="59"/>
  <c r="I33" i="59" s="1"/>
  <c r="R32" i="59"/>
  <c r="B32" i="59"/>
  <c r="I32" i="59" s="1"/>
  <c r="R31" i="59"/>
  <c r="B31" i="59" s="1"/>
  <c r="I31" i="59" s="1"/>
  <c r="B30" i="59"/>
  <c r="I30" i="59" s="1"/>
  <c r="I29" i="59"/>
  <c r="P28" i="59"/>
  <c r="I28" i="59"/>
  <c r="B23" i="59"/>
  <c r="Q17" i="59"/>
  <c r="B17" i="59"/>
  <c r="I17" i="59" s="1"/>
  <c r="Q16" i="59"/>
  <c r="B16" i="59" s="1"/>
  <c r="I16" i="59" s="1"/>
  <c r="Q15" i="59"/>
  <c r="B15" i="59" s="1"/>
  <c r="I15" i="59" s="1"/>
  <c r="B13" i="59"/>
  <c r="I13" i="59" s="1"/>
  <c r="T11" i="59"/>
  <c r="T12" i="59" s="1"/>
  <c r="U15" i="59" s="1"/>
  <c r="B14" i="59" s="1"/>
  <c r="I14" i="59" s="1"/>
  <c r="I62" i="58"/>
  <c r="I61" i="58"/>
  <c r="B61" i="58"/>
  <c r="R60" i="58"/>
  <c r="B60" i="58" s="1"/>
  <c r="I60" i="58" s="1"/>
  <c r="I59" i="58"/>
  <c r="B54" i="58"/>
  <c r="R48" i="58"/>
  <c r="B48" i="58" s="1"/>
  <c r="I48" i="58"/>
  <c r="I47" i="58"/>
  <c r="B47" i="58"/>
  <c r="R46" i="58"/>
  <c r="B46" i="58" s="1"/>
  <c r="I46" i="58" s="1"/>
  <c r="R45" i="58"/>
  <c r="B45" i="58" s="1"/>
  <c r="I45" i="58" s="1"/>
  <c r="I44" i="58"/>
  <c r="B44" i="58"/>
  <c r="I43" i="58"/>
  <c r="I42" i="58"/>
  <c r="B37" i="58"/>
  <c r="T36" i="58"/>
  <c r="O36" i="58"/>
  <c r="R31" i="58"/>
  <c r="B31" i="58" s="1"/>
  <c r="I31" i="58" s="1"/>
  <c r="I30" i="58"/>
  <c r="B30" i="58"/>
  <c r="R29" i="58"/>
  <c r="B29" i="58"/>
  <c r="I29" i="58" s="1"/>
  <c r="I28" i="58"/>
  <c r="B23" i="58"/>
  <c r="Q17" i="58"/>
  <c r="B17" i="58" s="1"/>
  <c r="I17" i="58" s="1"/>
  <c r="Q16" i="58"/>
  <c r="B16" i="58"/>
  <c r="I16" i="58" s="1"/>
  <c r="B15" i="58"/>
  <c r="I15" i="58" s="1"/>
  <c r="I14" i="58"/>
  <c r="R13" i="58"/>
  <c r="P13" i="58"/>
  <c r="B13" i="58"/>
  <c r="I13" i="58" s="1"/>
  <c r="I12" i="58"/>
  <c r="B7" i="58"/>
  <c r="B28" i="57"/>
  <c r="Z27" i="57"/>
  <c r="Z26" i="57"/>
  <c r="B27" i="57" s="1"/>
  <c r="Z25" i="57"/>
  <c r="B26" i="57" s="1"/>
  <c r="Z24" i="57"/>
  <c r="Z23" i="57"/>
  <c r="B24" i="57" s="1"/>
  <c r="Z22" i="57"/>
  <c r="B23" i="57" s="1"/>
  <c r="Z21" i="57"/>
  <c r="Z20" i="57"/>
  <c r="B20" i="57" s="1"/>
  <c r="Z19" i="57"/>
  <c r="B19" i="57" s="1"/>
  <c r="Z18" i="57"/>
  <c r="B18" i="57"/>
  <c r="B12" i="59" s="1"/>
  <c r="B7" i="59" s="1"/>
  <c r="AB17" i="57"/>
  <c r="Z17" i="57" s="1"/>
  <c r="B17" i="57" s="1"/>
  <c r="Z16" i="57"/>
  <c r="B16" i="57" s="1"/>
  <c r="Z15" i="57"/>
  <c r="B15" i="57" s="1"/>
  <c r="Z14" i="57"/>
  <c r="B14" i="57"/>
  <c r="Z13" i="57"/>
  <c r="B13" i="57"/>
  <c r="N1" i="57"/>
  <c r="T70" i="56"/>
  <c r="B70" i="56" s="1"/>
  <c r="J70" i="56" s="1"/>
  <c r="T69" i="56"/>
  <c r="B69" i="56" s="1"/>
  <c r="J69" i="56"/>
  <c r="T68" i="56"/>
  <c r="B68" i="56" s="1"/>
  <c r="J68" i="56" s="1"/>
  <c r="T67" i="56"/>
  <c r="B67" i="56"/>
  <c r="J67" i="56" s="1"/>
  <c r="T66" i="56"/>
  <c r="B66" i="56"/>
  <c r="J66" i="56" s="1"/>
  <c r="T65" i="56"/>
  <c r="B65" i="56" s="1"/>
  <c r="J65" i="56" s="1"/>
  <c r="T64" i="56"/>
  <c r="B64" i="56"/>
  <c r="J64" i="56" s="1"/>
  <c r="T63" i="56"/>
  <c r="J63" i="56"/>
  <c r="B63" i="56"/>
  <c r="T62" i="56"/>
  <c r="B62" i="56"/>
  <c r="J62" i="56" s="1"/>
  <c r="T61" i="56"/>
  <c r="B61" i="56" s="1"/>
  <c r="J61" i="56" s="1"/>
  <c r="T60" i="56"/>
  <c r="B60" i="56" s="1"/>
  <c r="J60" i="56" s="1"/>
  <c r="T59" i="56"/>
  <c r="B59" i="56"/>
  <c r="J59" i="56" s="1"/>
  <c r="T58" i="56"/>
  <c r="B58" i="56"/>
  <c r="J58" i="56" s="1"/>
  <c r="T57" i="56"/>
  <c r="B57" i="56" s="1"/>
  <c r="J57" i="56" s="1"/>
  <c r="J56" i="56"/>
  <c r="J45" i="56"/>
  <c r="J44" i="56"/>
  <c r="J43" i="56"/>
  <c r="J42" i="56"/>
  <c r="J41" i="56"/>
  <c r="J40" i="56"/>
  <c r="J39" i="56"/>
  <c r="J38" i="56"/>
  <c r="J37" i="56"/>
  <c r="J36" i="56"/>
  <c r="B35" i="56"/>
  <c r="J35" i="56" s="1"/>
  <c r="J34" i="56"/>
  <c r="B34" i="56"/>
  <c r="B33" i="56"/>
  <c r="J33" i="56" s="1"/>
  <c r="J32" i="56"/>
  <c r="J31" i="56"/>
  <c r="J30" i="56"/>
  <c r="S19" i="56"/>
  <c r="B19" i="56" s="1"/>
  <c r="J19" i="56" s="1"/>
  <c r="S18" i="56"/>
  <c r="B18" i="56"/>
  <c r="J18" i="56" s="1"/>
  <c r="S17" i="56"/>
  <c r="B17" i="56"/>
  <c r="J17" i="56" s="1"/>
  <c r="S16" i="56"/>
  <c r="B16" i="56" s="1"/>
  <c r="J16" i="56" s="1"/>
  <c r="S15" i="56"/>
  <c r="B15" i="56"/>
  <c r="J15" i="56" s="1"/>
  <c r="S14" i="56"/>
  <c r="J14" i="56"/>
  <c r="B14" i="56"/>
  <c r="S13" i="56"/>
  <c r="B13" i="56"/>
  <c r="J13" i="56" s="1"/>
  <c r="J12" i="56"/>
  <c r="T50" i="55"/>
  <c r="B50" i="55" s="1"/>
  <c r="J50" i="55" s="1"/>
  <c r="T49" i="55"/>
  <c r="B49" i="55" s="1"/>
  <c r="J49" i="55" s="1"/>
  <c r="T48" i="55"/>
  <c r="B48" i="55"/>
  <c r="J48" i="55" s="1"/>
  <c r="T47" i="55"/>
  <c r="J47" i="55"/>
  <c r="B47" i="55"/>
  <c r="T46" i="55"/>
  <c r="B46" i="55"/>
  <c r="J46" i="55" s="1"/>
  <c r="T45" i="55"/>
  <c r="B45" i="55" s="1"/>
  <c r="J45" i="55"/>
  <c r="T44" i="55"/>
  <c r="B44" i="55" s="1"/>
  <c r="J44" i="55" s="1"/>
  <c r="T43" i="55"/>
  <c r="B43" i="55"/>
  <c r="J43" i="55" s="1"/>
  <c r="T42" i="55"/>
  <c r="B42" i="55" s="1"/>
  <c r="J42" i="55" s="1"/>
  <c r="T41" i="55"/>
  <c r="B41" i="55" s="1"/>
  <c r="J41" i="55" s="1"/>
  <c r="T40" i="55"/>
  <c r="B40" i="55"/>
  <c r="J40" i="55" s="1"/>
  <c r="T39" i="55"/>
  <c r="J39" i="55"/>
  <c r="B39" i="55"/>
  <c r="J38" i="55"/>
  <c r="J27" i="55"/>
  <c r="J26" i="55"/>
  <c r="J25" i="55"/>
  <c r="J24" i="55"/>
  <c r="J23" i="55"/>
  <c r="J22" i="55"/>
  <c r="J21" i="55"/>
  <c r="J20" i="55"/>
  <c r="J19" i="55"/>
  <c r="J18" i="55"/>
  <c r="B17" i="55"/>
  <c r="J17" i="55" s="1"/>
  <c r="B16" i="55"/>
  <c r="J16" i="55" s="1"/>
  <c r="J15" i="55"/>
  <c r="B15" i="55"/>
  <c r="J14" i="55"/>
  <c r="J13" i="55"/>
  <c r="J12" i="55"/>
  <c r="I67" i="54"/>
  <c r="I66" i="54"/>
  <c r="I65" i="54"/>
  <c r="I64" i="54"/>
  <c r="I63" i="54"/>
  <c r="I52" i="54"/>
  <c r="I51" i="54"/>
  <c r="I50" i="54"/>
  <c r="I49" i="54"/>
  <c r="B38" i="54"/>
  <c r="I38" i="54" s="1"/>
  <c r="I37" i="54"/>
  <c r="B37" i="54"/>
  <c r="I36" i="54"/>
  <c r="G119" i="53"/>
  <c r="F119" i="53"/>
  <c r="E119" i="53"/>
  <c r="D119" i="53"/>
  <c r="A119" i="53"/>
  <c r="E118" i="53"/>
  <c r="D118" i="53"/>
  <c r="G117" i="53"/>
  <c r="E117" i="53"/>
  <c r="E116" i="53"/>
  <c r="F115" i="53"/>
  <c r="E115" i="53"/>
  <c r="A115" i="53"/>
  <c r="O114" i="53"/>
  <c r="E114" i="53"/>
  <c r="A114" i="53"/>
  <c r="O113" i="53"/>
  <c r="E113" i="53"/>
  <c r="A113" i="53"/>
  <c r="G112" i="53"/>
  <c r="E112" i="53"/>
  <c r="A112" i="53"/>
  <c r="G111" i="53"/>
  <c r="F111" i="53"/>
  <c r="E111" i="53"/>
  <c r="O110" i="53"/>
  <c r="F110" i="53"/>
  <c r="D110" i="53"/>
  <c r="B110" i="53"/>
  <c r="A110" i="53"/>
  <c r="J99" i="53"/>
  <c r="O98" i="53"/>
  <c r="O119" i="53" s="1"/>
  <c r="G98" i="53"/>
  <c r="F98" i="53"/>
  <c r="D98" i="53"/>
  <c r="B98" i="53"/>
  <c r="A98" i="53"/>
  <c r="J87" i="53"/>
  <c r="O86" i="53"/>
  <c r="O118" i="53" s="1"/>
  <c r="G86" i="53"/>
  <c r="G118" i="53" s="1"/>
  <c r="F86" i="53"/>
  <c r="F118" i="53" s="1"/>
  <c r="D86" i="53"/>
  <c r="B86" i="53"/>
  <c r="A86" i="53"/>
  <c r="A118" i="53" s="1"/>
  <c r="J75" i="53"/>
  <c r="J74" i="53"/>
  <c r="J73" i="53"/>
  <c r="J72" i="53"/>
  <c r="J71" i="53"/>
  <c r="O70" i="53"/>
  <c r="O117" i="53" s="1"/>
  <c r="G70" i="53"/>
  <c r="F70" i="53"/>
  <c r="F117" i="53" s="1"/>
  <c r="D70" i="53"/>
  <c r="D117" i="53" s="1"/>
  <c r="B70" i="53"/>
  <c r="A70" i="53"/>
  <c r="A117" i="53" s="1"/>
  <c r="J59" i="53"/>
  <c r="J58" i="53"/>
  <c r="J57" i="53"/>
  <c r="J56" i="53"/>
  <c r="O55" i="53"/>
  <c r="O116" i="53" s="1"/>
  <c r="G55" i="53"/>
  <c r="G116" i="53" s="1"/>
  <c r="F55" i="53"/>
  <c r="F116" i="53" s="1"/>
  <c r="D55" i="53"/>
  <c r="D116" i="53" s="1"/>
  <c r="B55" i="53"/>
  <c r="A55" i="53"/>
  <c r="A116" i="53" s="1"/>
  <c r="J44" i="53"/>
  <c r="J43" i="53"/>
  <c r="J42" i="53"/>
  <c r="J41" i="53"/>
  <c r="J40" i="53"/>
  <c r="J39" i="53"/>
  <c r="J38" i="53"/>
  <c r="O37" i="53"/>
  <c r="O115" i="53" s="1"/>
  <c r="G37" i="53"/>
  <c r="G115" i="53" s="1"/>
  <c r="F37" i="53"/>
  <c r="D37" i="53"/>
  <c r="D115" i="53" s="1"/>
  <c r="B37" i="53"/>
  <c r="J26" i="53"/>
  <c r="J25" i="53"/>
  <c r="O24" i="53"/>
  <c r="O112" i="53" s="1"/>
  <c r="F24" i="53"/>
  <c r="F112" i="53" s="1"/>
  <c r="D24" i="53"/>
  <c r="D112" i="53" s="1"/>
  <c r="B24" i="53"/>
  <c r="A24" i="53"/>
  <c r="J13" i="53"/>
  <c r="O12" i="53"/>
  <c r="O111" i="53" s="1"/>
  <c r="F12" i="53"/>
  <c r="D12" i="53"/>
  <c r="D111" i="53" s="1"/>
  <c r="B12" i="53"/>
  <c r="A12" i="53"/>
  <c r="A111" i="53" s="1"/>
  <c r="P13" i="59" l="1"/>
  <c r="B324" i="61"/>
  <c r="I329" i="61"/>
  <c r="I259" i="66"/>
  <c r="B254" i="66"/>
  <c r="B234" i="66" s="1"/>
  <c r="I234" i="66" s="1"/>
  <c r="B22" i="57"/>
  <c r="B21" i="57"/>
  <c r="N33" i="57" s="1"/>
  <c r="N33" i="62"/>
  <c r="B50" i="61"/>
  <c r="I55" i="61"/>
  <c r="I45" i="64"/>
  <c r="B40" i="64"/>
  <c r="I45" i="59"/>
  <c r="B40" i="59"/>
  <c r="I233" i="66"/>
  <c r="B228" i="66"/>
  <c r="I247" i="61"/>
  <c r="B242" i="61"/>
  <c r="B42" i="61"/>
  <c r="I42" i="61" s="1"/>
  <c r="P13" i="64"/>
  <c r="I152" i="66"/>
  <c r="B35" i="60"/>
  <c r="J35" i="60" s="1"/>
  <c r="B259" i="61"/>
  <c r="B35" i="65"/>
  <c r="J35" i="65" s="1"/>
  <c r="I55" i="66"/>
  <c r="P139" i="66"/>
  <c r="I216" i="66"/>
  <c r="I308" i="66"/>
  <c r="B36" i="60"/>
  <c r="J36" i="60" s="1"/>
  <c r="B162" i="61"/>
  <c r="B346" i="61"/>
  <c r="B139" i="66" l="1"/>
  <c r="I139" i="66" s="1"/>
  <c r="P138" i="66"/>
  <c r="B138" i="66" s="1"/>
  <c r="P235" i="61"/>
  <c r="B235" i="61"/>
  <c r="I235" i="61" s="1"/>
  <c r="I259" i="61"/>
  <c r="B254" i="61"/>
  <c r="I138" i="66" l="1"/>
  <c r="B133" i="66"/>
  <c r="B109" i="66" s="1"/>
  <c r="I109" i="66" s="1"/>
  <c r="P234" i="61"/>
  <c r="P233" i="61" s="1"/>
  <c r="B233" i="61" s="1"/>
  <c r="B234" i="61"/>
  <c r="I234" i="61" s="1"/>
  <c r="I233" i="61" l="1"/>
  <c r="B228" i="61"/>
  <c r="I22" i="50" l="1"/>
  <c r="B22" i="50"/>
  <c r="B54" i="52" l="1"/>
  <c r="I54" i="52" s="1"/>
  <c r="B53" i="52"/>
  <c r="I53" i="52" s="1"/>
  <c r="F52" i="52"/>
  <c r="C52" i="52"/>
  <c r="B52" i="52"/>
  <c r="I52" i="52" s="1"/>
  <c r="B41" i="52"/>
  <c r="I41" i="52" s="1"/>
  <c r="B40" i="52"/>
  <c r="I40" i="52" s="1"/>
  <c r="I39" i="52"/>
  <c r="F39" i="52"/>
  <c r="C39" i="52"/>
  <c r="B39" i="52"/>
  <c r="B28" i="52"/>
  <c r="I28" i="52" s="1"/>
  <c r="B27" i="52"/>
  <c r="I27" i="52" s="1"/>
  <c r="I26" i="52"/>
  <c r="F26" i="52"/>
  <c r="C26" i="52"/>
  <c r="B26" i="52"/>
  <c r="F12" i="52"/>
  <c r="C12" i="52"/>
  <c r="B12" i="52"/>
  <c r="I12" i="52" s="1"/>
  <c r="Q8" i="52"/>
  <c r="B15" i="52" s="1"/>
  <c r="I15" i="52" s="1"/>
  <c r="Q7" i="52"/>
  <c r="B14" i="52" s="1"/>
  <c r="I14" i="52" s="1"/>
  <c r="Q6" i="52"/>
  <c r="B13" i="52" s="1"/>
  <c r="I13" i="52" s="1"/>
  <c r="Q5" i="52"/>
  <c r="I200" i="51"/>
  <c r="F199" i="51"/>
  <c r="C199" i="51"/>
  <c r="B199" i="51"/>
  <c r="I199" i="51" s="1"/>
  <c r="B188" i="51"/>
  <c r="I188" i="51" s="1"/>
  <c r="B187" i="51"/>
  <c r="I187" i="51" s="1"/>
  <c r="B186" i="51"/>
  <c r="I186" i="51" s="1"/>
  <c r="B185" i="51"/>
  <c r="I185" i="51" s="1"/>
  <c r="B182" i="51"/>
  <c r="I182" i="51" s="1"/>
  <c r="I181" i="51"/>
  <c r="F180" i="51"/>
  <c r="C180" i="51"/>
  <c r="B180" i="51"/>
  <c r="I180" i="51" s="1"/>
  <c r="B169" i="51"/>
  <c r="I169" i="51" s="1"/>
  <c r="B168" i="51"/>
  <c r="I168" i="51" s="1"/>
  <c r="B167" i="51"/>
  <c r="I167" i="51" s="1"/>
  <c r="B166" i="51"/>
  <c r="I166" i="51" s="1"/>
  <c r="B163" i="51"/>
  <c r="I163" i="51" s="1"/>
  <c r="I162" i="51"/>
  <c r="F161" i="51"/>
  <c r="C161" i="51"/>
  <c r="B161" i="51"/>
  <c r="I161" i="51" s="1"/>
  <c r="I150" i="51"/>
  <c r="B150" i="51"/>
  <c r="B149" i="51"/>
  <c r="I149" i="51" s="1"/>
  <c r="B148" i="51"/>
  <c r="I148" i="51" s="1"/>
  <c r="B147" i="51"/>
  <c r="I147" i="51" s="1"/>
  <c r="B144" i="51"/>
  <c r="I144" i="51" s="1"/>
  <c r="I143" i="51"/>
  <c r="I142" i="51"/>
  <c r="F142" i="51"/>
  <c r="C142" i="51"/>
  <c r="B142" i="51"/>
  <c r="B130" i="51"/>
  <c r="F128" i="51"/>
  <c r="C128" i="51"/>
  <c r="B128" i="51"/>
  <c r="I128" i="51" s="1"/>
  <c r="B116" i="51"/>
  <c r="I116" i="51" s="1"/>
  <c r="B115" i="51"/>
  <c r="F113" i="51"/>
  <c r="C113" i="51"/>
  <c r="B113" i="51"/>
  <c r="I113" i="51" s="1"/>
  <c r="B101" i="51"/>
  <c r="I101" i="51" s="1"/>
  <c r="B100" i="51"/>
  <c r="F98" i="51"/>
  <c r="C98" i="51"/>
  <c r="B98" i="51"/>
  <c r="I98" i="51" s="1"/>
  <c r="I87" i="51"/>
  <c r="I86" i="51"/>
  <c r="I85" i="51"/>
  <c r="I84" i="51"/>
  <c r="I83" i="51"/>
  <c r="I82" i="51"/>
  <c r="I81" i="51"/>
  <c r="I80" i="51"/>
  <c r="F80" i="51"/>
  <c r="C80" i="51"/>
  <c r="B80" i="51"/>
  <c r="B69" i="51"/>
  <c r="I69" i="51" s="1"/>
  <c r="F68" i="51"/>
  <c r="C68" i="51"/>
  <c r="B68" i="51"/>
  <c r="I68" i="51" s="1"/>
  <c r="B56" i="51"/>
  <c r="I56" i="51" s="1"/>
  <c r="I55" i="51"/>
  <c r="F54" i="51"/>
  <c r="C54" i="51"/>
  <c r="B54" i="51"/>
  <c r="I54" i="51" s="1"/>
  <c r="B42" i="51"/>
  <c r="I42" i="51" s="1"/>
  <c r="B41" i="51"/>
  <c r="I41" i="51" s="1"/>
  <c r="I40" i="51"/>
  <c r="F39" i="51"/>
  <c r="C39" i="51"/>
  <c r="B39" i="51"/>
  <c r="I39" i="51" s="1"/>
  <c r="I28" i="51"/>
  <c r="I27" i="51"/>
  <c r="I26" i="51"/>
  <c r="F25" i="51"/>
  <c r="C25" i="51"/>
  <c r="B25" i="51"/>
  <c r="I25" i="51" s="1"/>
  <c r="I14" i="51"/>
  <c r="I13" i="51"/>
  <c r="F12" i="51"/>
  <c r="C12" i="51"/>
  <c r="B12" i="51"/>
  <c r="I12" i="51" s="1"/>
  <c r="P7" i="51"/>
  <c r="B43" i="51" s="1"/>
  <c r="I43" i="51" s="1"/>
  <c r="I46" i="50"/>
  <c r="F45" i="50"/>
  <c r="C45" i="50"/>
  <c r="B45" i="50"/>
  <c r="I45" i="50" s="1"/>
  <c r="I34" i="50"/>
  <c r="F33" i="50"/>
  <c r="C33" i="50"/>
  <c r="B33" i="50"/>
  <c r="I33" i="50" s="1"/>
  <c r="B20" i="50"/>
  <c r="I20" i="50" s="1"/>
  <c r="B19" i="50"/>
  <c r="I19" i="50" s="1"/>
  <c r="I18" i="50"/>
  <c r="I17" i="50"/>
  <c r="B16" i="50"/>
  <c r="I16" i="50" s="1"/>
  <c r="I15" i="50"/>
  <c r="B14" i="50"/>
  <c r="F12" i="50"/>
  <c r="C12" i="50"/>
  <c r="B12" i="50"/>
  <c r="I12" i="50" s="1"/>
  <c r="Q7" i="50"/>
  <c r="B21" i="50" s="1"/>
  <c r="I21" i="50" s="1"/>
  <c r="Q6" i="50"/>
  <c r="B13" i="50" s="1"/>
  <c r="I13" i="50" s="1"/>
  <c r="Q5" i="50"/>
  <c r="B131" i="51" l="1"/>
  <c r="I131" i="51" s="1"/>
  <c r="B184" i="51"/>
  <c r="I184" i="51" s="1"/>
  <c r="B145" i="51"/>
  <c r="I145" i="51" s="1"/>
  <c r="B102" i="51"/>
  <c r="I102" i="51" s="1"/>
  <c r="B117" i="51"/>
  <c r="I117" i="51" s="1"/>
  <c r="B57" i="51"/>
  <c r="I57" i="51" s="1"/>
  <c r="B165" i="51"/>
  <c r="I165" i="51" s="1"/>
  <c r="B183" i="51"/>
  <c r="I183" i="51" s="1"/>
  <c r="B146" i="51"/>
  <c r="I146" i="51" s="1"/>
  <c r="B164" i="51"/>
  <c r="I164" i="51" s="1"/>
  <c r="I18" i="30" l="1"/>
  <c r="A101" i="49"/>
  <c r="A98" i="49"/>
  <c r="A95" i="49"/>
  <c r="A93" i="49"/>
  <c r="A91" i="49"/>
  <c r="A79" i="49"/>
  <c r="A96" i="49" s="1"/>
  <c r="A67" i="49"/>
  <c r="A94" i="49" s="1"/>
  <c r="A55" i="49"/>
  <c r="A104" i="49" s="1"/>
  <c r="B44" i="49"/>
  <c r="B43" i="49"/>
  <c r="A41" i="49"/>
  <c r="A103" i="49" s="1"/>
  <c r="B28" i="49"/>
  <c r="B29" i="49" s="1"/>
  <c r="B30" i="49" s="1"/>
  <c r="A27" i="49"/>
  <c r="B15" i="49"/>
  <c r="B16" i="49" s="1"/>
  <c r="A12" i="49"/>
  <c r="A92" i="49" s="1"/>
  <c r="N41" i="48"/>
  <c r="M41" i="48"/>
  <c r="L41" i="48"/>
  <c r="K41" i="48"/>
  <c r="J41" i="48"/>
  <c r="I41" i="48"/>
  <c r="H41" i="48"/>
  <c r="G41" i="48"/>
  <c r="E41" i="48"/>
  <c r="D41" i="48"/>
  <c r="A41" i="48"/>
  <c r="N40" i="48"/>
  <c r="M40" i="48"/>
  <c r="L40" i="48"/>
  <c r="K40" i="48"/>
  <c r="J40" i="48"/>
  <c r="I40" i="48"/>
  <c r="H40" i="48"/>
  <c r="G40" i="48"/>
  <c r="E40" i="48"/>
  <c r="D40" i="48"/>
  <c r="A39" i="48"/>
  <c r="A26" i="48"/>
  <c r="B15" i="48"/>
  <c r="B14" i="48"/>
  <c r="A12" i="48"/>
  <c r="A40" i="48" s="1"/>
  <c r="N246" i="47"/>
  <c r="M246" i="47"/>
  <c r="L246" i="47"/>
  <c r="K246" i="47"/>
  <c r="J246" i="47"/>
  <c r="I246" i="47"/>
  <c r="G246" i="47"/>
  <c r="E246" i="47"/>
  <c r="D246" i="47"/>
  <c r="B246" i="47"/>
  <c r="N245" i="47"/>
  <c r="M245" i="47"/>
  <c r="L245" i="47"/>
  <c r="K245" i="47"/>
  <c r="J245" i="47"/>
  <c r="I245" i="47"/>
  <c r="G245" i="47"/>
  <c r="E245" i="47"/>
  <c r="D245" i="47"/>
  <c r="B245" i="47"/>
  <c r="A245" i="47"/>
  <c r="N244" i="47"/>
  <c r="M244" i="47"/>
  <c r="L244" i="47"/>
  <c r="K244" i="47"/>
  <c r="J244" i="47"/>
  <c r="I244" i="47"/>
  <c r="G244" i="47"/>
  <c r="E244" i="47"/>
  <c r="D244" i="47"/>
  <c r="B244" i="47"/>
  <c r="N243" i="47"/>
  <c r="M243" i="47"/>
  <c r="L243" i="47"/>
  <c r="K243" i="47"/>
  <c r="J243" i="47"/>
  <c r="I243" i="47"/>
  <c r="G243" i="47"/>
  <c r="E243" i="47"/>
  <c r="D243" i="47"/>
  <c r="B243" i="47"/>
  <c r="A242" i="47"/>
  <c r="A224" i="47"/>
  <c r="A213" i="47"/>
  <c r="A212" i="47"/>
  <c r="A211" i="47"/>
  <c r="A210" i="47"/>
  <c r="A209" i="47"/>
  <c r="A208" i="47"/>
  <c r="A243" i="47" s="1"/>
  <c r="A197" i="47"/>
  <c r="A196" i="47"/>
  <c r="A195" i="47"/>
  <c r="A194" i="47"/>
  <c r="A244" i="47" s="1"/>
  <c r="A183" i="47"/>
  <c r="A182" i="47"/>
  <c r="A181" i="47"/>
  <c r="A180" i="47"/>
  <c r="A179" i="47"/>
  <c r="A160" i="47"/>
  <c r="A159" i="47"/>
  <c r="A246" i="47" s="1"/>
  <c r="B148" i="47"/>
  <c r="U147" i="47"/>
  <c r="B147" i="47" s="1"/>
  <c r="S147" i="47"/>
  <c r="U146" i="47"/>
  <c r="S146" i="47"/>
  <c r="B146" i="47"/>
  <c r="A145" i="47"/>
  <c r="B133" i="47"/>
  <c r="B134" i="47" s="1"/>
  <c r="A131" i="47"/>
  <c r="B119" i="47"/>
  <c r="B118" i="47"/>
  <c r="A116" i="47"/>
  <c r="B105" i="47"/>
  <c r="B104" i="47"/>
  <c r="A101" i="47"/>
  <c r="B89" i="47"/>
  <c r="B88" i="47" s="1"/>
  <c r="A86" i="47"/>
  <c r="B75" i="47"/>
  <c r="B74" i="47"/>
  <c r="A71" i="47"/>
  <c r="B60" i="47"/>
  <c r="B59" i="47"/>
  <c r="J59" i="47" s="1"/>
  <c r="S58" i="47"/>
  <c r="U58" i="47" s="1"/>
  <c r="B58" i="47" s="1"/>
  <c r="S57" i="47"/>
  <c r="U57" i="47" s="1"/>
  <c r="B57" i="47" s="1"/>
  <c r="A56" i="47"/>
  <c r="B45" i="47"/>
  <c r="B44" i="47"/>
  <c r="A42" i="47"/>
  <c r="B30" i="47"/>
  <c r="B29" i="47" s="1"/>
  <c r="A27" i="47"/>
  <c r="B15" i="47"/>
  <c r="B16" i="47" s="1"/>
  <c r="A12" i="47"/>
  <c r="A128" i="46"/>
  <c r="A127" i="46"/>
  <c r="A126" i="46"/>
  <c r="A125" i="46"/>
  <c r="B114" i="46"/>
  <c r="A113" i="46"/>
  <c r="B102" i="46"/>
  <c r="B101" i="46"/>
  <c r="A99" i="46"/>
  <c r="B88" i="46"/>
  <c r="A85" i="46"/>
  <c r="B74" i="46"/>
  <c r="A71" i="46"/>
  <c r="B60" i="46"/>
  <c r="A57" i="46"/>
  <c r="B46" i="46"/>
  <c r="A42" i="46"/>
  <c r="B31" i="46"/>
  <c r="B30" i="46"/>
  <c r="B29" i="46" s="1"/>
  <c r="A27" i="46"/>
  <c r="B16" i="46"/>
  <c r="B15" i="46"/>
  <c r="J15" i="46" s="1"/>
  <c r="S14" i="46"/>
  <c r="U14" i="46" s="1"/>
  <c r="B14" i="46" s="1"/>
  <c r="S13" i="46"/>
  <c r="U13" i="46" s="1"/>
  <c r="B13" i="46" s="1"/>
  <c r="A12" i="46"/>
  <c r="N85" i="45"/>
  <c r="M85" i="45"/>
  <c r="L85" i="45"/>
  <c r="K85" i="45"/>
  <c r="J85" i="45"/>
  <c r="I85" i="45"/>
  <c r="G85" i="45"/>
  <c r="F85" i="45"/>
  <c r="E85" i="45"/>
  <c r="D85" i="45"/>
  <c r="B85" i="45"/>
  <c r="A84" i="45"/>
  <c r="A73" i="45"/>
  <c r="A72" i="45"/>
  <c r="A71" i="45"/>
  <c r="A70" i="45"/>
  <c r="A69" i="45"/>
  <c r="A85" i="45" s="1"/>
  <c r="B57" i="45"/>
  <c r="B58" i="45" s="1"/>
  <c r="A55" i="45"/>
  <c r="B43" i="45"/>
  <c r="B42" i="45"/>
  <c r="A41" i="45"/>
  <c r="B29" i="45"/>
  <c r="B28" i="45"/>
  <c r="B27" i="45"/>
  <c r="A26" i="45"/>
  <c r="B14" i="45"/>
  <c r="B13" i="45"/>
  <c r="B72" i="44"/>
  <c r="A71" i="44"/>
  <c r="A70" i="44"/>
  <c r="A69" i="44"/>
  <c r="A68" i="44"/>
  <c r="B56" i="44"/>
  <c r="B44" i="44"/>
  <c r="B43" i="44"/>
  <c r="B29" i="44"/>
  <c r="B30" i="44" s="1"/>
  <c r="B27" i="44"/>
  <c r="B13" i="44"/>
  <c r="N18" i="43"/>
  <c r="M18" i="43"/>
  <c r="L18" i="43"/>
  <c r="K18" i="43"/>
  <c r="J18" i="43"/>
  <c r="I18" i="43"/>
  <c r="A18" i="43"/>
  <c r="N17" i="43"/>
  <c r="M17" i="43"/>
  <c r="L17" i="43"/>
  <c r="K17" i="43"/>
  <c r="J17" i="43"/>
  <c r="I17" i="43"/>
  <c r="A17" i="43"/>
  <c r="N16" i="43"/>
  <c r="M16" i="43"/>
  <c r="L16" i="43"/>
  <c r="K16" i="43"/>
  <c r="J16" i="43"/>
  <c r="I16" i="43"/>
  <c r="G16" i="43"/>
  <c r="F16" i="43"/>
  <c r="E16" i="43"/>
  <c r="D16" i="43"/>
  <c r="B16" i="43"/>
  <c r="A16" i="43"/>
  <c r="N15" i="43"/>
  <c r="M15" i="43"/>
  <c r="L15" i="43"/>
  <c r="K15" i="43"/>
  <c r="J15" i="43"/>
  <c r="I15" i="43"/>
  <c r="G15" i="43"/>
  <c r="F15" i="43"/>
  <c r="E15" i="43"/>
  <c r="D15" i="43"/>
  <c r="B15" i="43"/>
  <c r="A15" i="43"/>
  <c r="N14" i="43"/>
  <c r="M14" i="43"/>
  <c r="L14" i="43"/>
  <c r="K14" i="43"/>
  <c r="J14" i="43"/>
  <c r="I14" i="43"/>
  <c r="G14" i="43"/>
  <c r="F14" i="43"/>
  <c r="E14" i="43"/>
  <c r="D14" i="43"/>
  <c r="B14" i="43"/>
  <c r="A14" i="43"/>
  <c r="N13" i="43"/>
  <c r="M13" i="43"/>
  <c r="L13" i="43"/>
  <c r="K13" i="43"/>
  <c r="J13" i="43"/>
  <c r="I13" i="43"/>
  <c r="G13" i="43"/>
  <c r="F13" i="43"/>
  <c r="E13" i="43"/>
  <c r="D13" i="43"/>
  <c r="B13" i="43"/>
  <c r="A13" i="43"/>
  <c r="A12" i="43"/>
  <c r="A97" i="49" l="1"/>
  <c r="A99" i="49"/>
  <c r="A100" i="49"/>
  <c r="A102" i="49"/>
  <c r="I33" i="35" l="1"/>
  <c r="B19" i="35"/>
  <c r="N19" i="35"/>
  <c r="A41" i="42"/>
  <c r="A39" i="42"/>
  <c r="A27" i="42"/>
  <c r="B16" i="42"/>
  <c r="B15" i="42"/>
  <c r="A12" i="42"/>
  <c r="A40" i="42" s="1"/>
  <c r="I30" i="41"/>
  <c r="I29" i="41"/>
  <c r="I28" i="41"/>
  <c r="M28" i="41" s="1"/>
  <c r="M27" i="41"/>
  <c r="I27" i="41"/>
  <c r="L27" i="41" s="1"/>
  <c r="M26" i="41"/>
  <c r="L26" i="41"/>
  <c r="I26" i="41"/>
  <c r="I25" i="41"/>
  <c r="F25" i="41"/>
  <c r="C25" i="41"/>
  <c r="I14" i="41"/>
  <c r="B13" i="41"/>
  <c r="I13" i="41" s="1"/>
  <c r="I12" i="41"/>
  <c r="F12" i="41"/>
  <c r="C12" i="41"/>
  <c r="B12" i="41"/>
  <c r="O1" i="41"/>
  <c r="T68" i="40"/>
  <c r="B68" i="40"/>
  <c r="A67" i="40"/>
  <c r="A55" i="40"/>
  <c r="B43" i="40"/>
  <c r="B44" i="40" s="1"/>
  <c r="A41" i="40"/>
  <c r="B28" i="40"/>
  <c r="B29" i="40" s="1"/>
  <c r="B30" i="40" s="1"/>
  <c r="A27" i="40"/>
  <c r="B16" i="40"/>
  <c r="B15" i="40"/>
  <c r="A12" i="40"/>
  <c r="B4" i="40"/>
  <c r="I17" i="39"/>
  <c r="I16" i="39"/>
  <c r="I15" i="39"/>
  <c r="I14" i="39"/>
  <c r="I13" i="39"/>
  <c r="F12" i="39"/>
  <c r="C12" i="39"/>
  <c r="B12" i="39"/>
  <c r="I12" i="39" s="1"/>
  <c r="O1" i="39"/>
  <c r="A99" i="38"/>
  <c r="A97" i="38"/>
  <c r="A95" i="38"/>
  <c r="A94" i="38"/>
  <c r="A91" i="38"/>
  <c r="A79" i="38"/>
  <c r="A67" i="38"/>
  <c r="A55" i="38"/>
  <c r="A96" i="38" s="1"/>
  <c r="B43" i="38"/>
  <c r="B44" i="38" s="1"/>
  <c r="A41" i="38"/>
  <c r="A98" i="38" s="1"/>
  <c r="B28" i="38"/>
  <c r="B29" i="38" s="1"/>
  <c r="B30" i="38" s="1"/>
  <c r="A27" i="38"/>
  <c r="A93" i="38" s="1"/>
  <c r="B15" i="38"/>
  <c r="B16" i="38" s="1"/>
  <c r="A12" i="38"/>
  <c r="A92" i="38" s="1"/>
  <c r="I265" i="37"/>
  <c r="I264" i="37"/>
  <c r="I263" i="37"/>
  <c r="I262" i="37"/>
  <c r="I261" i="37"/>
  <c r="B261" i="37"/>
  <c r="I260" i="37"/>
  <c r="I259" i="37"/>
  <c r="I258" i="37"/>
  <c r="I257" i="37"/>
  <c r="I256" i="37"/>
  <c r="I255" i="37"/>
  <c r="I254" i="37"/>
  <c r="I253" i="37"/>
  <c r="I252" i="37"/>
  <c r="I251" i="37"/>
  <c r="I250" i="37"/>
  <c r="F249" i="37"/>
  <c r="C249" i="37"/>
  <c r="B249" i="37"/>
  <c r="I249" i="37" s="1"/>
  <c r="I238" i="37"/>
  <c r="I237" i="37"/>
  <c r="I236" i="37"/>
  <c r="I235" i="37"/>
  <c r="I234" i="37"/>
  <c r="I233" i="37"/>
  <c r="I232" i="37"/>
  <c r="I231" i="37"/>
  <c r="I230" i="37"/>
  <c r="I229" i="37"/>
  <c r="I228" i="37"/>
  <c r="F228" i="37"/>
  <c r="C228" i="37"/>
  <c r="B228" i="37"/>
  <c r="I217" i="37"/>
  <c r="I216" i="37"/>
  <c r="I215" i="37"/>
  <c r="I214" i="37"/>
  <c r="I213" i="37"/>
  <c r="I212" i="37"/>
  <c r="I211" i="37"/>
  <c r="I210" i="37"/>
  <c r="I209" i="37"/>
  <c r="I208" i="37"/>
  <c r="I207" i="37"/>
  <c r="I206" i="37"/>
  <c r="I205" i="37"/>
  <c r="F205" i="37"/>
  <c r="C205" i="37"/>
  <c r="B205" i="37"/>
  <c r="I194" i="37"/>
  <c r="I193" i="37"/>
  <c r="I192" i="37"/>
  <c r="I191" i="37"/>
  <c r="I190" i="37"/>
  <c r="I189" i="37"/>
  <c r="I188" i="37"/>
  <c r="I187" i="37"/>
  <c r="I186" i="37"/>
  <c r="I185" i="37"/>
  <c r="I184" i="37"/>
  <c r="I183" i="37"/>
  <c r="I182" i="37"/>
  <c r="I181" i="37"/>
  <c r="I180" i="37"/>
  <c r="I179" i="37"/>
  <c r="I178" i="37"/>
  <c r="I177" i="37"/>
  <c r="F177" i="37"/>
  <c r="C177" i="37"/>
  <c r="B177" i="37"/>
  <c r="I166" i="37"/>
  <c r="I165" i="37"/>
  <c r="I164" i="37"/>
  <c r="I163" i="37"/>
  <c r="I162" i="37"/>
  <c r="I161" i="37"/>
  <c r="I160" i="37"/>
  <c r="I159" i="37"/>
  <c r="I158" i="37"/>
  <c r="I157" i="37"/>
  <c r="I156" i="37"/>
  <c r="I155" i="37"/>
  <c r="I154" i="37"/>
  <c r="I153" i="37"/>
  <c r="I152" i="37"/>
  <c r="I151" i="37"/>
  <c r="I150" i="37"/>
  <c r="I149" i="37"/>
  <c r="I148" i="37"/>
  <c r="F148" i="37"/>
  <c r="C148" i="37"/>
  <c r="B148" i="37"/>
  <c r="I137" i="37"/>
  <c r="I136" i="37"/>
  <c r="I135" i="37"/>
  <c r="I134" i="37"/>
  <c r="I133" i="37"/>
  <c r="I132" i="37"/>
  <c r="I131" i="37"/>
  <c r="F131" i="37"/>
  <c r="C131" i="37"/>
  <c r="B131" i="37"/>
  <c r="I120" i="37"/>
  <c r="I119" i="37"/>
  <c r="I118" i="37"/>
  <c r="I117" i="37"/>
  <c r="I116" i="37"/>
  <c r="I115" i="37"/>
  <c r="I114" i="37"/>
  <c r="I113" i="37"/>
  <c r="I112" i="37"/>
  <c r="I111" i="37"/>
  <c r="I110" i="37"/>
  <c r="I109" i="37"/>
  <c r="I108" i="37"/>
  <c r="F107" i="37"/>
  <c r="C107" i="37"/>
  <c r="B107" i="37"/>
  <c r="I107" i="37" s="1"/>
  <c r="I96" i="37"/>
  <c r="I95" i="37"/>
  <c r="I94" i="37"/>
  <c r="I93" i="37"/>
  <c r="I92" i="37"/>
  <c r="I91" i="37"/>
  <c r="I90" i="37"/>
  <c r="I89" i="37"/>
  <c r="I88" i="37"/>
  <c r="I87" i="37"/>
  <c r="I86" i="37"/>
  <c r="F86" i="37"/>
  <c r="C86" i="37"/>
  <c r="B86" i="37"/>
  <c r="I75" i="37"/>
  <c r="I74" i="37"/>
  <c r="I73" i="37"/>
  <c r="I72" i="37"/>
  <c r="I71" i="37"/>
  <c r="I70" i="37"/>
  <c r="I69" i="37"/>
  <c r="F68" i="37"/>
  <c r="C68" i="37"/>
  <c r="B68" i="37"/>
  <c r="I68" i="37" s="1"/>
  <c r="I57" i="37"/>
  <c r="I56" i="37"/>
  <c r="I55" i="37"/>
  <c r="I54" i="37"/>
  <c r="I53" i="37"/>
  <c r="I52" i="37"/>
  <c r="I51" i="37"/>
  <c r="I50" i="37"/>
  <c r="I49" i="37"/>
  <c r="I48" i="37"/>
  <c r="I47" i="37"/>
  <c r="I46" i="37"/>
  <c r="I45" i="37"/>
  <c r="I44" i="37"/>
  <c r="I43" i="37"/>
  <c r="I42" i="37"/>
  <c r="I41" i="37"/>
  <c r="I40" i="37"/>
  <c r="I39" i="37"/>
  <c r="F39" i="37"/>
  <c r="C39" i="37"/>
  <c r="B39" i="37"/>
  <c r="I28" i="37"/>
  <c r="I27" i="37"/>
  <c r="I26" i="37"/>
  <c r="I25" i="37"/>
  <c r="F25" i="37"/>
  <c r="C25" i="37"/>
  <c r="B25" i="37"/>
  <c r="I14" i="37"/>
  <c r="I13" i="37"/>
  <c r="F12" i="37"/>
  <c r="C12" i="37"/>
  <c r="B12" i="37"/>
  <c r="I12" i="37" s="1"/>
  <c r="O1" i="37"/>
  <c r="I51" i="36"/>
  <c r="B50" i="36"/>
  <c r="I50" i="36" s="1"/>
  <c r="F49" i="36"/>
  <c r="C49" i="36"/>
  <c r="B49" i="36"/>
  <c r="I49" i="36" s="1"/>
  <c r="I38" i="36"/>
  <c r="B37" i="36"/>
  <c r="I37" i="36" s="1"/>
  <c r="I36" i="36"/>
  <c r="B35" i="36"/>
  <c r="I35" i="36" s="1"/>
  <c r="B34" i="36"/>
  <c r="I34" i="36" s="1"/>
  <c r="B33" i="36"/>
  <c r="I33" i="36" s="1"/>
  <c r="B32" i="36"/>
  <c r="I32" i="36" s="1"/>
  <c r="B31" i="36"/>
  <c r="I31" i="36" s="1"/>
  <c r="I30" i="36"/>
  <c r="B29" i="36"/>
  <c r="I29" i="36" s="1"/>
  <c r="F28" i="36"/>
  <c r="C28" i="36"/>
  <c r="B28" i="36"/>
  <c r="I28" i="36" s="1"/>
  <c r="I17" i="36"/>
  <c r="B16" i="36"/>
  <c r="I16" i="36" s="1"/>
  <c r="I15" i="36"/>
  <c r="I14" i="36"/>
  <c r="B13" i="36"/>
  <c r="I13" i="36" s="1"/>
  <c r="F12" i="36"/>
  <c r="C12" i="36"/>
  <c r="B12" i="36"/>
  <c r="I12" i="36" s="1"/>
  <c r="O1" i="36"/>
  <c r="L28" i="41" l="1"/>
  <c r="N35" i="35" l="1"/>
  <c r="B35" i="35" s="1"/>
  <c r="I35" i="35" s="1"/>
  <c r="I34" i="35"/>
  <c r="B32" i="35"/>
  <c r="B31" i="35"/>
  <c r="A30" i="35"/>
  <c r="I19" i="35"/>
  <c r="I17" i="35"/>
  <c r="B16" i="35"/>
  <c r="B15" i="35"/>
  <c r="A14" i="35"/>
  <c r="N1" i="35"/>
  <c r="B124" i="31" l="1"/>
  <c r="B123" i="31"/>
  <c r="B122" i="31"/>
  <c r="B121" i="31"/>
  <c r="B120" i="31"/>
  <c r="B119" i="31"/>
  <c r="B118" i="31"/>
  <c r="B117" i="31"/>
  <c r="B105" i="31"/>
  <c r="B104" i="31"/>
  <c r="B103" i="31"/>
  <c r="B102" i="31"/>
  <c r="B101" i="31"/>
  <c r="B100" i="31"/>
  <c r="B87" i="31"/>
  <c r="B86" i="31"/>
  <c r="B85" i="31"/>
  <c r="B73" i="31"/>
  <c r="B72" i="31"/>
  <c r="B71" i="31"/>
  <c r="B25" i="29" l="1"/>
  <c r="B23" i="29"/>
  <c r="B22" i="29"/>
  <c r="B21" i="29"/>
  <c r="B20"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I88" i="29"/>
  <c r="I87" i="29"/>
  <c r="I86" i="29"/>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 r="Y93" i="75"/>
  <c r="Q93" i="75"/>
  <c r="R93" i="75"/>
  <c r="B93" i="75"/>
  <c r="M93" i="75" s="1"/>
  <c r="I93" i="75"/>
  <c r="L96" i="75"/>
  <c r="Y95" i="75"/>
  <c r="Q95" i="75"/>
  <c r="R95" i="75"/>
  <c r="B95" i="75"/>
  <c r="M95" i="75" s="1"/>
  <c r="I95" i="75"/>
  <c r="Y98" i="75"/>
  <c r="Y96" i="75"/>
  <c r="Q96" i="75"/>
  <c r="R96" i="75"/>
  <c r="B96" i="75"/>
  <c r="I96" i="75" s="1"/>
  <c r="B98" i="75"/>
  <c r="M98" i="75" s="1"/>
  <c r="Y99" i="75"/>
  <c r="Y94" i="75"/>
  <c r="Q94" i="75"/>
  <c r="R94" i="75"/>
  <c r="B94" i="75" s="1"/>
  <c r="B99" i="75"/>
  <c r="M99" i="75" s="1"/>
  <c r="Y97" i="75"/>
  <c r="Q97" i="75"/>
  <c r="R97" i="75"/>
  <c r="B97" i="75"/>
  <c r="I97" i="75" s="1"/>
  <c r="L97" i="75"/>
  <c r="Y92" i="75"/>
  <c r="Q92" i="75" s="1"/>
  <c r="R92" i="75" s="1"/>
  <c r="M94" i="75" l="1"/>
  <c r="I94" i="75"/>
  <c r="B92" i="75"/>
  <c r="B100" i="75"/>
  <c r="I99" i="75"/>
  <c r="L98" i="75"/>
  <c r="M97" i="75"/>
  <c r="M96" i="75"/>
  <c r="I98" i="75"/>
  <c r="I100" i="75" l="1"/>
  <c r="M100" i="75"/>
  <c r="M92" i="75"/>
  <c r="I92" i="7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tc={8D096174-5554-4420-8345-A659E31C6AE9}</author>
    <author>tc={517CDDA8-D39A-4E35-870C-386CEC943BAF}</author>
    <author>tc={0AFC0E3B-BF2D-4A5D-8A6B-2C688B358F07}</author>
  </authors>
  <commentList>
    <comment ref="O147" authorId="0" shapeId="0" xr:uid="{8D096174-5554-4420-8345-A659E31C6AE9}">
      <text>
        <t>[Threaded comment]
Your version of Excel allows you to read this threaded comment; however, any edits to it will get removed if the file is opened in a newer version of Excel. Learn more: https://go.microsoft.com/fwlink/?linkid=870924
Comment:
    From HFPO synthesis</t>
      </text>
    </comment>
    <comment ref="O149" authorId="1" shapeId="0" xr:uid="{517CDDA8-D39A-4E35-870C-386CEC943BAF}">
      <text>
        <t>[Threaded comment]
Your version of Excel allows you to read this threaded comment; however, any edits to it will get removed if the file is opened in a newer version of Excel. Learn more: https://go.microsoft.com/fwlink/?linkid=870924
Comment:
    From PSEPVE synthesis</t>
      </text>
    </comment>
    <comment ref="Q166" authorId="2" shapeId="0" xr:uid="{0AFC0E3B-BF2D-4A5D-8A6B-2C688B358F07}">
      <text>
        <t>[Threaded comment]
Your version of Excel allows you to read this threaded comment; however, any edits to it will get removed if the file is opened in a newer version of Excel. Learn more: https://go.microsoft.com/fwlink/?linkid=870924
Comment:
    1 ml solvent/ 100 mg solid</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<sst xmlns="http://schemas.openxmlformats.org/spreadsheetml/2006/main" count="46471" uniqueCount="1977">
  <si>
    <t>cutoff</t>
  </si>
  <si>
    <t>Database</t>
  </si>
  <si>
    <t>GENESIS_2040_PEMFC-bat_NDC</t>
  </si>
  <si>
    <t>format</t>
  </si>
  <si>
    <t>Excel spreadsheet</t>
  </si>
  <si>
    <t>Activity</t>
  </si>
  <si>
    <t>aircraft usage, design mission, PEMFC-bat</t>
  </si>
  <si>
    <t>categories</t>
  </si>
  <si>
    <t>Use</t>
  </si>
  <si>
    <t>code</t>
  </si>
  <si>
    <t>0808F060E0F94D1BB0380DFA4A9065F5</t>
  </si>
  <si>
    <t>comment</t>
  </si>
  <si>
    <t>Table B1 of GENESIS_LCI_powerplant_medium-term_PEMFC-bat_v01.xlsx.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</si>
  <si>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</si>
  <si>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</si>
  <si>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</si>
  <si>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</si>
  <si>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</si>
  <si>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</si>
  <si>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</si>
  <si>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</si>
  <si>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</si>
  <si>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</si>
  <si>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</si>
  <si>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</si>
  <si>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</si>
  <si>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</si>
  <si>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</si>
  <si>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</si>
  <si>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</si>
  <si>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</si>
  <si>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</si>
  <si>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PEMFC-bat</t>
  </si>
  <si>
    <t>technosphere</t>
  </si>
  <si>
    <t>airport use</t>
  </si>
  <si>
    <t>RER</t>
  </si>
  <si>
    <t>hydrogen at airport</t>
  </si>
  <si>
    <t>kilogram</t>
  </si>
  <si>
    <t>market group for electricity, low voltage</t>
  </si>
  <si>
    <t>kilowatt hour</t>
  </si>
  <si>
    <t>ecoinvent_remind_SSP2-NDC_2040</t>
  </si>
  <si>
    <t>Water</t>
  </si>
  <si>
    <t>cubic meter</t>
  </si>
  <si>
    <t>biosphere3</t>
  </si>
  <si>
    <t>air</t>
  </si>
  <si>
    <t>biosphere</t>
  </si>
  <si>
    <t>aircraft usage, typical mission, PEMFC-bat</t>
  </si>
  <si>
    <t>17D40CF28F3748DD8B56ED861593DA72</t>
  </si>
  <si>
    <t>Table B2 of GENESIS_LCI_powerplant_medium-term_PEMFC-bat_v01.xlsx. 1 unit corresponds to 1 flight over 378.057 km (design mission) with 50 passengers</t>
  </si>
  <si>
    <t>Airframe</t>
  </si>
  <si>
    <t>C6441B6A6002477888AADE6F0853A0E3</t>
  </si>
  <si>
    <t>Table 00 of GENESIS_LCI_airframe_medium-term_PEMFC-bat_v01.xlsx. 1 unit corresponds to 23394 kg of airframe structure</t>
  </si>
  <si>
    <t>Production of powerplant, PEMFC-bat, medium term</t>
  </si>
  <si>
    <t>production of structure/airframe, PEMFC-bat</t>
  </si>
  <si>
    <t>production of systems, PEMFC-bat</t>
  </si>
  <si>
    <t>production of furnishing, PEMFC-bat</t>
  </si>
  <si>
    <t>production of operative equipment, PEMFC-bat</t>
  </si>
  <si>
    <t>Decommissioning of aircraft, PEMFC-bat, Medium-Term</t>
  </si>
  <si>
    <t>GLO</t>
  </si>
  <si>
    <t>Airport</t>
  </si>
  <si>
    <t>Lifetime scaling parameters</t>
  </si>
  <si>
    <t>FD2826B9B2F64B429982853636F19390</t>
  </si>
  <si>
    <t>System</t>
  </si>
  <si>
    <t>years</t>
  </si>
  <si>
    <t>factor</t>
  </si>
  <si>
    <t>Airport use for 1 y valid for 2040-time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41 vehicles (e.g., bus shuttles, GPU’s, vans, and tractor luggage) to support its operation. From these, in 2040 it is considered that 0 use fossil fuel (diesel) and 41 are electric. Diesel and electricity consumption for vehicles is reflected as a separate process from other fuels or energy sources needed at the airport for its operation. 
Statistics for 2040: i) passengers = 2,216,688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</si>
  <si>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</si>
  <si>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</si>
  <si>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</si>
  <si>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</si>
  <si>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</si>
  <si>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</si>
  <si>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</si>
  <si>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</si>
  <si>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</si>
  <si>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market group for electricity, medium voltage</t>
  </si>
  <si>
    <t>Yearly electricity consuption for airport operations (e.g., lightning, heating, cooling, etc.) + electricity used by electric airport vehicles (passenger shuttle bus + GPU). Based on reported numbers form year 2019 for RTHA. See S3 worksheet</t>
  </si>
  <si>
    <t>market for natural gas, high pressure</t>
  </si>
  <si>
    <t>Yearly natural gas consuption for airport operations (e.g., backup generators, heating, etc.). Based on reported numbers form year 2019 for RTHA.</t>
  </si>
  <si>
    <t>market group for tap water</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</si>
  <si>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</si>
  <si>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</si>
  <si>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</si>
  <si>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</si>
  <si>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</si>
  <si>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</si>
  <si>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</si>
  <si>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medium-term</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</si>
  <si>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</si>
  <si>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</si>
  <si>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</si>
  <si>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</si>
  <si>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</si>
  <si>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</si>
  <si>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</si>
  <si>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</si>
  <si>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</si>
  <si>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</si>
  <si>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</si>
  <si>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</si>
  <si>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</si>
  <si>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</si>
  <si>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</si>
  <si>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</si>
  <si>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</si>
  <si>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</si>
  <si>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</si>
  <si>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</si>
  <si>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</si>
  <si>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</si>
  <si>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</si>
  <si>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</si>
  <si>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</si>
  <si>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</si>
  <si>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</si>
  <si>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</si>
  <si>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</si>
  <si>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</si>
  <si>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</si>
  <si>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</si>
  <si>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</si>
  <si>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</si>
  <si>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</si>
  <si>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</si>
  <si>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</si>
  <si>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</si>
  <si>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</si>
  <si>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</si>
  <si>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RoW</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</si>
  <si>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</si>
  <si>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</si>
  <si>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</si>
  <si>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</si>
  <si>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</si>
  <si>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</si>
  <si>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</si>
  <si>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</si>
  <si>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</si>
  <si>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</si>
  <si>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</si>
  <si>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</si>
  <si>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</si>
  <si>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</si>
  <si>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</si>
  <si>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</si>
  <si>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</si>
  <si>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</si>
  <si>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</si>
  <si>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</si>
  <si>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</si>
  <si>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</si>
  <si>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</si>
  <si>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</si>
  <si>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</si>
  <si>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</si>
  <si>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</si>
  <si>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</si>
  <si>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</si>
  <si>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</si>
  <si>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</si>
  <si>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</si>
  <si>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market for reinforcing steel</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</si>
  <si>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</si>
  <si>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</si>
  <si>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</si>
  <si>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</si>
  <si>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</si>
  <si>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</si>
  <si>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</si>
  <si>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</si>
  <si>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megajoule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</si>
  <si>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</si>
  <si>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</si>
  <si>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</si>
  <si>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</si>
  <si>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</si>
  <si>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</si>
  <si>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</si>
  <si>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</si>
  <si>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</si>
  <si>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</si>
  <si>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</si>
  <si>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</si>
  <si>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</si>
  <si>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</si>
  <si>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</si>
  <si>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</si>
  <si>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</si>
  <si>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</si>
  <si>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</si>
  <si>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</si>
  <si>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</si>
  <si>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</si>
  <si>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</si>
  <si>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EoL, PEMFC-bat, Medium-Term</t>
  </si>
  <si>
    <t>B6D66AACBB2B41AFB9172182356FD3E0</t>
  </si>
  <si>
    <t>decomissioning master process for aiframe, powerplant and power electronics and drives</t>
  </si>
  <si>
    <t>full names</t>
  </si>
  <si>
    <t>reference product</t>
  </si>
  <si>
    <t>comment 2</t>
  </si>
  <si>
    <t>h2 EoL, PEMFC-bat, Medium-Term</t>
  </si>
  <si>
    <t xml:space="preserve"> </t>
  </si>
  <si>
    <t>-</t>
  </si>
  <si>
    <t>powerplant</t>
  </si>
  <si>
    <t>D0C453BA98E14C398A8B0BFCFFC48016</t>
  </si>
  <si>
    <t>Table 00 (lifetime: 20 years) of GENESIS_LCI_powerplant_medium-term_PEMFC-bat_16.01.2023_DTU</t>
  </si>
  <si>
    <t>additional comment/assumptions</t>
  </si>
  <si>
    <t>Production of Gearbox, EM</t>
  </si>
  <si>
    <t>Unspecified "Further technological correlation"</t>
  </si>
  <si>
    <t>Production of Propellers, EM</t>
  </si>
  <si>
    <t>Production of Nacelle, EM</t>
  </si>
  <si>
    <t>kilograms</t>
  </si>
  <si>
    <t>the process is identical to the GT-bat senario process but scaled to the PEMFC-bat battery pack weight, 1 pack from BFH corresponds to 2 packs from UNINA, LIFETIME =2,5 Y</t>
  </si>
  <si>
    <t>market for cable, unspecified</t>
  </si>
  <si>
    <t>LIFETIME =10Y</t>
  </si>
  <si>
    <t>market group for electricity, high voltage</t>
  </si>
  <si>
    <t>kWh</t>
  </si>
  <si>
    <t>World</t>
  </si>
  <si>
    <t>MJ</t>
  </si>
  <si>
    <t>m3</t>
  </si>
  <si>
    <t>market group for heat, district or industrial, natural gas</t>
  </si>
  <si>
    <t>kg</t>
  </si>
  <si>
    <t>market for kerosene</t>
  </si>
  <si>
    <t>SAF production, medium-term, proxy</t>
  </si>
  <si>
    <t>SAF</t>
  </si>
  <si>
    <t>Assumed water density of 997.42788 kg/m3</t>
  </si>
  <si>
    <t>market for wastewater, average</t>
  </si>
  <si>
    <t>treatment of waste plastic, industrial electronics, municipal incineration</t>
  </si>
  <si>
    <t/>
  </si>
  <si>
    <t>Carbon dioxide, fossil</t>
  </si>
  <si>
    <t>Sulfur oxides</t>
  </si>
  <si>
    <t>Nitrogen oxides</t>
  </si>
  <si>
    <t>VOC, volatile organic compounds, unspecified origin</t>
  </si>
  <si>
    <t>E5D45AE1FFF4414FABA7D29C0C3A6E3A</t>
  </si>
  <si>
    <t>Table B2 of GENESIS_LCI_powerplant_medium-term_PEMFC-bat_16.01.2023_DTU</t>
  </si>
  <si>
    <t>market for steel, low-alloyed</t>
  </si>
  <si>
    <t>input= input mass*ratio</t>
  </si>
  <si>
    <t>assumed proxy for steel alloy</t>
  </si>
  <si>
    <t>market for aluminium alloy, AlMg3</t>
  </si>
  <si>
    <t>assumed proxy for Aluminium alloy (ADC-12)</t>
  </si>
  <si>
    <t>treatment of waste reinforcement steel, recycling</t>
  </si>
  <si>
    <t>waste amounts= input mass*ratio - input mass</t>
  </si>
  <si>
    <t>assumed proxy for treatment steel alloy</t>
  </si>
  <si>
    <t>substitution</t>
  </si>
  <si>
    <t>assumed proxy for substituted scraps of steel alloy</t>
  </si>
  <si>
    <t>treatment of aluminium scrap, post-consumer, by collecting, sorting, cleaning, pressing</t>
  </si>
  <si>
    <t>assumed proxy for treatment Aluminium alloy (ADC-12)</t>
  </si>
  <si>
    <t>treatment of aluminium scrap, post-consumer, prepared for recycling, at refiner</t>
  </si>
  <si>
    <t>aluminium, cast alloy</t>
  </si>
  <si>
    <t>assumed proxy for substituted scraps of Aluminium alloy (ADC-12)</t>
  </si>
  <si>
    <t xml:space="preserve">conversions: </t>
  </si>
  <si>
    <t>2BA530096E5B4BEC8785AE5E15D9FB10</t>
  </si>
  <si>
    <t>Table C2 of GENESIS_LCI_powerplant_medium-term_PEMFC-bat_16.01.2023_DTU</t>
  </si>
  <si>
    <t>market for carbon fibre reinforced plastic, injection moulded</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</si>
  <si>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</si>
  <si>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</si>
  <si>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</si>
  <si>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</si>
  <si>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</si>
  <si>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</si>
  <si>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</si>
  <si>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</si>
  <si>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</si>
  <si>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3C0298DB8516417E859B08286D56B463</t>
  </si>
  <si>
    <t>Table E1 of GENESIS_LCI_powerplant_medium-term_PEMFC-bat_16.01.2023_DTU</t>
  </si>
  <si>
    <t>assumed proxy for Aluminium alloy (Al2023/Al2019/Al7000)</t>
  </si>
  <si>
    <t>assumed proxy for treatment of Aluminium alloy (Al2023/Al2019/Al7000)</t>
  </si>
  <si>
    <t>assumed proxy for substituted scraps of Aluminium alloy (Al2023/Al2019/Al7000)</t>
  </si>
  <si>
    <t>14</t>
  </si>
  <si>
    <t>455E911D7E0E4A74917A7D87083C0773</t>
  </si>
  <si>
    <t>powerplant negative treatment processes</t>
  </si>
  <si>
    <t>Incineration of biowaste</t>
  </si>
  <si>
    <t>6E04E00AEFA0415E933E877A372D71F5</t>
  </si>
  <si>
    <t>treatment of biowaste, municipal incineration</t>
  </si>
  <si>
    <t>Incineration of waste rubber</t>
  </si>
  <si>
    <t>40BAC6F4A00441BC878154263A7239E7</t>
  </si>
  <si>
    <t>treatment of waste rubber, unspecified, municipal incineration</t>
  </si>
  <si>
    <t>You can tell the importer to ignore some columns, where you can do calculations or take notes.</t>
  </si>
  <si>
    <t>ED28A167477F4AC1A8A8BDA5F0F70CD20</t>
  </si>
  <si>
    <t>proxy for long term saf. EU saf mandate + sustainability criteria were used to select biofuel and e-fuel amounts and produciton pathways. Carbon sequestration calcualted based on the CO2 emissions in the combustion. we assume a heating value of 45 on average MJ/kg</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</si>
  <si>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</si>
  <si>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</si>
  <si>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</si>
  <si>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</si>
  <si>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</si>
  <si>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</si>
  <si>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</si>
  <si>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</si>
  <si>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</si>
  <si>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</si>
  <si>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</si>
  <si>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cathode production, Li-S, GT-bat</t>
  </si>
  <si>
    <t>battery including EoL</t>
  </si>
  <si>
    <t>production of battery Li-S for the medium term and GT-bat configuration</t>
  </si>
  <si>
    <t>output</t>
  </si>
  <si>
    <t>CATHODE + Positive foil + Positive tab - Electricity mix</t>
  </si>
  <si>
    <t>market for carbon black</t>
  </si>
  <si>
    <t>proxy for polyvinylfluoride</t>
  </si>
  <si>
    <t>market for vinyl fluoride</t>
  </si>
  <si>
    <t>graphene sulfur composite</t>
  </si>
  <si>
    <t>output. Based on reference 5 (see lci file) https://doi.org/10.1016/j.jpowsour.2017.01.036</t>
  </si>
  <si>
    <t>market for synthetic graphite, battery grade</t>
  </si>
  <si>
    <t>PROXY: for graphene oxyde</t>
  </si>
  <si>
    <t>market for sodium sulfite</t>
  </si>
  <si>
    <t>sodium sulfite</t>
  </si>
  <si>
    <t>PROXY for sodium thiosulfate</t>
  </si>
  <si>
    <t>polyvinylchloride production, emulsion polymerisation</t>
  </si>
  <si>
    <t>proxy for polyvinypyrrolidone</t>
  </si>
  <si>
    <t>market for chlorine, liquid</t>
  </si>
  <si>
    <t>market for hazardous waste, for incineration</t>
  </si>
  <si>
    <t>mass balance</t>
  </si>
  <si>
    <t>anode, Li-S, GT-bat</t>
  </si>
  <si>
    <t>market for lithium</t>
  </si>
  <si>
    <t>ANODE + Negative foil + Negative tab - Electricity mix</t>
  </si>
  <si>
    <t>electrolyte, Li-S, GT-bat</t>
  </si>
  <si>
    <t>market for sulfur</t>
  </si>
  <si>
    <t>market for phosphorus, white, liquid</t>
  </si>
  <si>
    <t>germanium</t>
  </si>
  <si>
    <t>proxy for primary germanium production (not in ecoinvent).</t>
  </si>
  <si>
    <t>output. This process is a proxy for germanium production from zinc mining residues. According to the literature (DOI: 10.1007/s11837-014-1267-6 and https://doi.org/10.1007/s40831-020-00277-4), the CC impact of primary production varies between 901-5771 kgCo2eq / kg (coal route) and 1370 kg/CO2eq (baseling, from Zn production). Based on the references above, economic allocation of 25% for the impact of germanium based on zinc production was used. Titanium chlorination process )chlorine amount and energy demand) was used as a proxy for estimating the impacts of the germanium chlorination. GeCl4 produciton is expected to account for 80% of the impacts of pure Ge cristals production. further processes of refining were not included here due to lack of data.</t>
  </si>
  <si>
    <t>zinc mine operation</t>
  </si>
  <si>
    <t>bulk lead-zinc concentrate</t>
  </si>
  <si>
    <t>proxy for primary germanium production (not in ecoinvent). Germanium can be produced as a by-product of zinc metallurgy using lead and germanium rich residues. The proxy underestimates the germanium contribution because only part of hte refining process could be modeled here (no LCI data). sources suggest an economic allocation of 25%. we assume that the germanium content is identical to the zinc lead content</t>
  </si>
  <si>
    <t>proxy: estimated chlorine for the chlorination process to obtain GeCl4</t>
  </si>
  <si>
    <t>proxy: estiamted energy demand for germanium based on our own calculations (data available on demand) using the estiamte carbon footprint of Ge produciton, the contribution of electricity in the carbon fooprint, and taking an average carbon intensity of the electricity mix</t>
  </si>
  <si>
    <t>separator, Li-S, GT-bat</t>
  </si>
  <si>
    <t>market for polyvinylfluoride</t>
  </si>
  <si>
    <t>casing for battery cell, Li-S, GT-bat</t>
  </si>
  <si>
    <t>output for the total battery pack : 146 kg</t>
  </si>
  <si>
    <t>market for aluminium, cast alloy</t>
  </si>
  <si>
    <t>market for nylon 6</t>
  </si>
  <si>
    <t>market for packaging film, low density polyethylene</t>
  </si>
  <si>
    <t>market for polyethylene terephthalate, granulate, amorphous</t>
  </si>
  <si>
    <t>polyethylene terephthalate, granulate, amorphous</t>
  </si>
  <si>
    <t>market for polypropylene, granulate</t>
  </si>
  <si>
    <t>battery cell production, Li-S, GT-bat</t>
  </si>
  <si>
    <t>output for the total amount of cells in the battery pack: 3004.72 kg (0.53 kg/cell * 1420 cells/modules * 4 modules / pack)</t>
  </si>
  <si>
    <t>aluminium collector foil production, for Li-ion battery</t>
  </si>
  <si>
    <t>positive foil, Li-S, GT-bat</t>
  </si>
  <si>
    <t>copper collector foil production, for Li-ion battery</t>
  </si>
  <si>
    <t>negative foil, Li-S, GT-bat</t>
  </si>
  <si>
    <t>positive terminal, Li-S, GT-bat</t>
  </si>
  <si>
    <t>market for copper, cathode</t>
  </si>
  <si>
    <t>negative terminal, Li-S, GT-bat</t>
  </si>
  <si>
    <t>total energy for the battery assembly (7.5 kWh/kg component)</t>
  </si>
  <si>
    <t>casing for battery module, Li-S, GT-bat</t>
  </si>
  <si>
    <t xml:space="preserve">output for 4 modules </t>
  </si>
  <si>
    <t>raw material production is considered global though the battery manufacturing is assumed to be EUR or CN</t>
  </si>
  <si>
    <t>market for polyethylene, high density, granulate</t>
  </si>
  <si>
    <t>diverse plastics</t>
  </si>
  <si>
    <t>insulating material</t>
  </si>
  <si>
    <t>raw material production is considered global though the battery anufacturing is assumed to be EUR or CN</t>
  </si>
  <si>
    <t>battery module production, Li-S, GT-bat</t>
  </si>
  <si>
    <t>Battery module management system production, Li-S, GT-bat</t>
  </si>
  <si>
    <t>BMS for the module</t>
  </si>
  <si>
    <t xml:space="preserve">output for 1 battery pack of 4 modules. </t>
  </si>
  <si>
    <t>battery management system production, for Li-ion battery</t>
  </si>
  <si>
    <t>casing for battery pack, Li-S, GT-bat</t>
  </si>
  <si>
    <t>Battery pack management system production, Li-S, GT-bat</t>
  </si>
  <si>
    <t>BMS for the pack</t>
  </si>
  <si>
    <t>battery pack production, Li-S, GT-bat</t>
  </si>
  <si>
    <t>All columns past the first two for database and activity definitions are ignored in any case.</t>
  </si>
  <si>
    <t>E6CB33AE174F46258B23D76D14CDCAEC</t>
  </si>
  <si>
    <t>output. Aggregated process for producting a battery pack of 3357 kg. The energy is assumed to be 100% electricity and based on the nominal energy content of the pack. The remaining unknown materials in the battery were assumed to be PP.</t>
  </si>
  <si>
    <t>other materials are assumed to be plastics</t>
  </si>
  <si>
    <t>total energy for the battery assembly (0.03 KWh/kg component)</t>
  </si>
  <si>
    <t>BMS treatment, GT-bat</t>
  </si>
  <si>
    <t>D78FAF551BE944999A4C19774A9ECA0D</t>
  </si>
  <si>
    <t>recycling of battery LiS for the short term and GT-bat configuration</t>
  </si>
  <si>
    <t>treatment of electronics scrap from control units</t>
  </si>
  <si>
    <t>no creditting, only treatment</t>
  </si>
  <si>
    <t>other LiS battery components treatment, GT-bat</t>
  </si>
  <si>
    <t>FB45A0890C524C58989DFE808A2D5138</t>
  </si>
  <si>
    <t>output.</t>
  </si>
  <si>
    <t>casing scrap treatment, GT-bat</t>
  </si>
  <si>
    <t>000BA1797134487484D255AC768B902E</t>
  </si>
  <si>
    <t>output. Only aluminium content is recovered</t>
  </si>
  <si>
    <t>aluminium content in the casing scrap 90% and recycling efficiency 95%</t>
  </si>
  <si>
    <t>treatment includes remelting</t>
  </si>
  <si>
    <t>credits</t>
  </si>
  <si>
    <t>treatment of basic oxygen furnace secondary metallurgy slag, residual material landfill</t>
  </si>
  <si>
    <t>proxy for treating the other materials that went to slags (copper and fire losses of aluminium recycling). Uncertainty cannot be added based on the pedigree due to negative flows (undefined log normal distribution)</t>
  </si>
  <si>
    <t>packaging treatment, GT-bat</t>
  </si>
  <si>
    <t>263505BC9F7340C281D37779595F3003</t>
  </si>
  <si>
    <t>recycling of battery liS for the short term and GT-bat configuration</t>
  </si>
  <si>
    <t>treatment of waste paperboard, municipal incineration</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</si>
  <si>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</si>
  <si>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</si>
  <si>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</si>
  <si>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</si>
  <si>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</si>
  <si>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</si>
  <si>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</si>
  <si>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LiS battery pack dismantling, GT-bat</t>
  </si>
  <si>
    <t>C0B6B295E6044246A8CA57894EBD1FBA</t>
  </si>
  <si>
    <t>output for treating 3357.8 kg of battery packes</t>
  </si>
  <si>
    <t>market for carton board box production, with gravure printing</t>
  </si>
  <si>
    <t>packaging</t>
  </si>
  <si>
    <t>packaging, isolation band</t>
  </si>
  <si>
    <t>packaging, bag</t>
  </si>
  <si>
    <t>energy for moving the battery</t>
  </si>
  <si>
    <t>energy for compressed air</t>
  </si>
  <si>
    <t>LiS battery module pyrolysis, GT-bat</t>
  </si>
  <si>
    <t>C03C4F243CA24B838811BB1C6D2488B0</t>
  </si>
  <si>
    <t>output for treating 3236.99 kg of battery modules. The process starts with the dismantled battery packs and ends with the pyrolysed cells.</t>
  </si>
  <si>
    <t>market for oxygen, liquid</t>
  </si>
  <si>
    <t>oxygen, liquid</t>
  </si>
  <si>
    <t>energy for pyrolysis</t>
  </si>
  <si>
    <t>water for cooling is not needed here</t>
  </si>
  <si>
    <t>no energy reuse here. We assume that the recovered energy is used to treat the sulfur emissions from Li-S combustion</t>
  </si>
  <si>
    <t>emissions to air</t>
  </si>
  <si>
    <t>Sulfur dioxide</t>
  </si>
  <si>
    <t>Multi-step mechanical treatment of pyrolysed modules, LiS, GT-bat</t>
  </si>
  <si>
    <t>012F646DE3774438882F2B91F9C774FC</t>
  </si>
  <si>
    <t>output for 2492.84 kg of pyrolysed cells. The process starts with the pyrolysed cells and ends with the production of the active material fraction and the cu/al fraction. No recycling is included..</t>
  </si>
  <si>
    <t>energy for mechanical treatment</t>
  </si>
  <si>
    <t>emissions to air. No water is emitted here</t>
  </si>
  <si>
    <t>active material and cu/al fractions treatment, LiS, GT-bat</t>
  </si>
  <si>
    <t>9C7FC6F42E74463D9217BE359B210D32</t>
  </si>
  <si>
    <t>output for treatment and recycling of 1465 kg of Li concentrate (active material fraction) and 1027 kg of cu/al fraction</t>
  </si>
  <si>
    <t>treatment of used Li-ion battery, hydrometallurgical treatment</t>
  </si>
  <si>
    <t>used Li-ion battery</t>
  </si>
  <si>
    <t>the active material fraction is treated by hydrometallurgical process (Cu/La/Li extraction).This process is a proxy for LiS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</si>
  <si>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</si>
  <si>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treatment of electronics scrap, metals recovery in copper smelter</t>
  </si>
  <si>
    <t>metal part of electronics scrap, in copper, anode</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</si>
  <si>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</si>
  <si>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50%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</si>
  <si>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</si>
  <si>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</si>
  <si>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</si>
  <si>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</si>
  <si>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fraction.We assume that the uncertainty on metal content declared in the lci applies to this process.</t>
  </si>
  <si>
    <t>treatment of battery LiS, GT-bat</t>
  </si>
  <si>
    <t>C7567F33A0EC4AD9BCB6F5705E3A07D4</t>
  </si>
  <si>
    <t>output, this process can be added to treat the battery pack directly</t>
  </si>
  <si>
    <t>includes credits from BMS, packaging, and casing recycling</t>
  </si>
  <si>
    <t>includes crediting</t>
  </si>
  <si>
    <t>production of PEMFC fuel cell plant unit, Medium-Term, PEMFC-bat</t>
  </si>
  <si>
    <t>FC-PEM, medium-term</t>
  </si>
  <si>
    <t>32D39E2D9D994063A5EE8B73F604CBAC</t>
  </si>
  <si>
    <t>Table 0 from GENESIS_LCI_fuel cell_PEM_medium-term_PEMFC-bat_09.02.2023</t>
  </si>
  <si>
    <t>lifetime of 10 years (so two sets of four are needed)</t>
  </si>
  <si>
    <t>production of fuel cell system, Medium-Term, PEMFC-bat</t>
  </si>
  <si>
    <t>3E2F2C85870244A2B7BBA9BFC111A270</t>
  </si>
  <si>
    <t>Table 1 from GENESIS_LCI_fuel cell_PEM_medium-term_PEMFC-bat_09.02.2023, lifetime = 10 years (accounted for in mother process)</t>
  </si>
  <si>
    <t>208,8898525 kilograms</t>
  </si>
  <si>
    <t>multiplication cf.  lifetime</t>
  </si>
  <si>
    <t>ratio</t>
  </si>
  <si>
    <t>input amount</t>
  </si>
  <si>
    <t>uncertainty</t>
  </si>
  <si>
    <t>production of fuel cell stack</t>
  </si>
  <si>
    <t>+ / - 1</t>
  </si>
  <si>
    <t>see Table 2</t>
  </si>
  <si>
    <t>production of insulated pressure vessel</t>
  </si>
  <si>
    <t>+ 2</t>
  </si>
  <si>
    <t>see Table 11</t>
  </si>
  <si>
    <t xml:space="preserve">production of air system </t>
  </si>
  <si>
    <t>(incl. compressor / air filter / intercooler)</t>
  </si>
  <si>
    <t>+ 1</t>
  </si>
  <si>
    <t>see Table 12</t>
  </si>
  <si>
    <t>production of cooling liquid pump</t>
  </si>
  <si>
    <t>see Table 13</t>
  </si>
  <si>
    <t>production of hydrogen recirculation pump</t>
  </si>
  <si>
    <t>see Table 14</t>
  </si>
  <si>
    <t xml:space="preserve">production of heat exchanger </t>
  </si>
  <si>
    <t>see Table 15</t>
  </si>
  <si>
    <t>production of ion exchange filter</t>
  </si>
  <si>
    <t>see Table 16</t>
  </si>
  <si>
    <t>production of load cables</t>
  </si>
  <si>
    <t>+ / - 50%</t>
  </si>
  <si>
    <t>see Table 17</t>
  </si>
  <si>
    <t>production of supporting construction frame</t>
  </si>
  <si>
    <t>+ / - 30%</t>
  </si>
  <si>
    <t>see Table 18</t>
  </si>
  <si>
    <t>production of piping and hose system</t>
  </si>
  <si>
    <t>see Table 19</t>
  </si>
  <si>
    <t xml:space="preserve">proxy for: glycol cooling liquid, 1115 [Kg/m³] </t>
  </si>
  <si>
    <t>market for hydrogen, gaseous</t>
  </si>
  <si>
    <t>assuming gaseous H2 since we are doing gas leakage tests</t>
  </si>
  <si>
    <t>market for nitrogen, liquid</t>
  </si>
  <si>
    <t>20 NL gaseous at T=0 and pressure=1bar, and in those conditions density is 1g/L so we have 0,02kg</t>
  </si>
  <si>
    <t>F85CFCDC70284A2DB53EDC9B011DADFF</t>
  </si>
  <si>
    <t>Table 2 from GENESIS_LCI_fuel cell_PEM_medium-term_PEMFC-bat_09.02.2023, lifetime = 10 years (accounted for in mother process)</t>
  </si>
  <si>
    <t>Production of single fuel cell / Membrane Electrode Assemblies (MEA)</t>
  </si>
  <si>
    <t>see Table 3</t>
  </si>
  <si>
    <t>Production of planar Interconnect / Bipolar plates (BPP)</t>
  </si>
  <si>
    <t>+/ -50</t>
  </si>
  <si>
    <t>see Table 8</t>
  </si>
  <si>
    <t>Production of Casing/end plates</t>
  </si>
  <si>
    <t>see Table 9</t>
  </si>
  <si>
    <t>productionof Gas delivery ports / Media insets</t>
  </si>
  <si>
    <t>see Table 10</t>
  </si>
  <si>
    <t>Production of Clamping / compression system</t>
  </si>
  <si>
    <t>see Table 10A</t>
  </si>
  <si>
    <t>Production of Cell voltage monitoring unit</t>
  </si>
  <si>
    <t xml:space="preserve"> - 1</t>
  </si>
  <si>
    <t>see Table 10B</t>
  </si>
  <si>
    <t>Production of Current collector</t>
  </si>
  <si>
    <t>see Table 10C</t>
  </si>
  <si>
    <t>Production of Insulated pressure vessel / Fuel Cell Stack Enclosure</t>
  </si>
  <si>
    <t>see Table 10D</t>
  </si>
  <si>
    <t>=  +-100%</t>
  </si>
  <si>
    <t xml:space="preserve"> + / - 100%</t>
  </si>
  <si>
    <t>none</t>
  </si>
  <si>
    <t>10 NL gaseous at T=0 and pressure=1bar, and in those conditions density is 1g/L so we have 0,01kg</t>
  </si>
  <si>
    <t>CF9EC375D2D44015A61482CC7056E483</t>
  </si>
  <si>
    <t>Table 3 from GENESIS_LCI_fuel cell_PEM_medium-term_PEMFC-bat_09.02.2023, lifetime = 20 years (accounted for in mother process)</t>
  </si>
  <si>
    <t>Production of PEMFC_anode catalyst layer</t>
  </si>
  <si>
    <t>see Table 4</t>
  </si>
  <si>
    <t>Production of PEMFC_cathode catalyst layer</t>
  </si>
  <si>
    <t>see Table 5</t>
  </si>
  <si>
    <t>Production of PEMFC_electrolyte membrane</t>
  </si>
  <si>
    <t>see Table 6</t>
  </si>
  <si>
    <t>Production of Gas diffusion layer (GDL) and Micro porous layer (MPL)</t>
  </si>
  <si>
    <t>see Table 7A</t>
  </si>
  <si>
    <t>Production of Subgasket</t>
  </si>
  <si>
    <t>see Table 7B</t>
  </si>
  <si>
    <t>C8E640B17AE540198F79D4D2CCF04E72</t>
  </si>
  <si>
    <t>Table 4 from GENESIS_LCI_fuel cell_PEM_medium-term_PEMFC-bat_09.02.2023, lifetime = 20 years (accounted for in mother process)</t>
  </si>
  <si>
    <t>CONVERSIONS</t>
  </si>
  <si>
    <t>market for platinum</t>
  </si>
  <si>
    <t xml:space="preserve"> + / - 100 %</t>
  </si>
  <si>
    <t>mg</t>
  </si>
  <si>
    <t>Production of Carbon nanotubes, carbon black</t>
  </si>
  <si>
    <t>see Table 4.1</t>
  </si>
  <si>
    <t>market for rhodium</t>
  </si>
  <si>
    <t>proxy for Ir or other platinum group metal (PGM) catalyst</t>
  </si>
  <si>
    <t>Production of Perfluorosulfonic acid (PFSA) ionomer</t>
  </si>
  <si>
    <t>see Table 4.2</t>
  </si>
  <si>
    <t>market for isopropanol</t>
  </si>
  <si>
    <t>evaporation of the product is neglected, no existing process</t>
  </si>
  <si>
    <t xml:space="preserve"> + / - 50 %</t>
  </si>
  <si>
    <t>ml</t>
  </si>
  <si>
    <t xml:space="preserve">997,77 kg/m3 </t>
  </si>
  <si>
    <t>substitution because 20% of propanol used is recovered and 5% from BTF ratio</t>
  </si>
  <si>
    <t>susbtitution because of 95% btf ratio</t>
  </si>
  <si>
    <t>BEFA03C7C2044ED9A0BC7D0E90740EC7</t>
  </si>
  <si>
    <t>Table 4.1 from GENESIS_LCI_fuel cell_PEM_medium-term_PEMFC-bat_09.02.2023, lifetime = 30 years (accounted for in mother process)</t>
  </si>
  <si>
    <t>market for cobalt</t>
  </si>
  <si>
    <t>n.a</t>
  </si>
  <si>
    <t>market for silica sand</t>
  </si>
  <si>
    <t>market for hydrochloric acid, without water, in 30% solution state</t>
  </si>
  <si>
    <t>market for carbon monoxide</t>
  </si>
  <si>
    <t>market for ethoxylated alcohol (AE&gt;20)</t>
  </si>
  <si>
    <t>market for molybdenum</t>
  </si>
  <si>
    <t>market for monoethanolamine</t>
  </si>
  <si>
    <t>market for sodium hydroxide, without water, in 50% solution state</t>
  </si>
  <si>
    <t>conversion</t>
  </si>
  <si>
    <t xml:space="preserve">assuming water density 997,77 kg/m3 </t>
  </si>
  <si>
    <t>treatment of inert waste, inert material landfill</t>
  </si>
  <si>
    <t>CEE2E83B339F4806BA6E152F2BF7D935</t>
  </si>
  <si>
    <t>Table 4.2  from GENESIS_LCI_fuel cell_PEM_medium-term_PEMFC-bat_09.02.2023, lifetime = 30 years (accounted for in mother process)</t>
  </si>
  <si>
    <t>market for tetrafluoroethane</t>
  </si>
  <si>
    <t>market for sulfur trioxide</t>
  </si>
  <si>
    <t>market for hexafluoroethane</t>
  </si>
  <si>
    <t>market for sodium hypochlorite, without water, in 15% solution state</t>
  </si>
  <si>
    <t>market for soda ash, dense</t>
  </si>
  <si>
    <t>market for chemical factory, organics</t>
  </si>
  <si>
    <t>market for transport, freight, lorry, unspecified</t>
  </si>
  <si>
    <t>ton kilometer</t>
  </si>
  <si>
    <t>market for transport, freight train</t>
  </si>
  <si>
    <t>neglected:</t>
  </si>
  <si>
    <t>Sodium chloride (NaCl), to water</t>
  </si>
  <si>
    <t>not availiable in ecoinvent or biosphere</t>
  </si>
  <si>
    <t>treatment of spent solvent mixture, hazardous waste incineration</t>
  </si>
  <si>
    <t>Sodium hydroxide (NaOH), to water</t>
  </si>
  <si>
    <t>treatment of waste plastic, mixture, municipal incineration</t>
  </si>
  <si>
    <t>Sodium fluoride (NaF)</t>
  </si>
  <si>
    <t>treatment of bilge oil, hazardous waste incineration</t>
  </si>
  <si>
    <t>99A27C18D315498A9803D0B2909FEC5E</t>
  </si>
  <si>
    <t>Table 5  from GENESIS_LCI_fuel cell_PEM_medium-term_PEMFC-bat_09.02.2023, lifetime = 30 years (accounted for in mother process)</t>
  </si>
  <si>
    <t>amount= used-recovered</t>
  </si>
  <si>
    <t>BB53BB8318B345868833B09CCE72B29C</t>
  </si>
  <si>
    <t>Table 6  from GENESIS_LCI_fuel cell_PEM_medium-term_PEMFC-bat_09.02.2023, lifetime = 20 years (accounted for in mother process)</t>
  </si>
  <si>
    <t>g</t>
  </si>
  <si>
    <t>Production of Polytetrafluoroethylene, PTFE reinforcement</t>
  </si>
  <si>
    <t>table 6.1</t>
  </si>
  <si>
    <t>D1CBC7D3127943819E4D85A77309221C</t>
  </si>
  <si>
    <t>Table 6.1  from GENESIS_LCI_fuel cell_PEM_medium-term_PEMFC-bat_09.02.2023, lifetime = 20 years (accounted for in mother process)</t>
  </si>
  <si>
    <t>market for chlorodifluoromethane</t>
  </si>
  <si>
    <t>proxy for Hydrochloric acid (36% in H2O)</t>
  </si>
  <si>
    <t>GLO process not availiable</t>
  </si>
  <si>
    <t>treatment of refinery sludge, hazardous waste incineration</t>
  </si>
  <si>
    <t>market for methanol</t>
  </si>
  <si>
    <t>proxy for CFC-11</t>
  </si>
  <si>
    <t>proxy for CFC-12</t>
  </si>
  <si>
    <t>17DF1CE1E8644CD89C5FAF0BEE350F82</t>
  </si>
  <si>
    <t>Table 7A  from GENESIS_LCI_fuel cell_PEM_medium-term_PEMFC-bat_09.02.2023, lifetime = 20 years (accounted for in mother process)</t>
  </si>
  <si>
    <t>market for graphite</t>
  </si>
  <si>
    <t>proxy for Graphite microphorous layer (MPL)</t>
  </si>
  <si>
    <t>F1C7253BBB1E45AD9239BFADAFE6C5B8</t>
  </si>
  <si>
    <t>Table 7B  from GENESIS_LCI_fuel cell_PEM_medium-term_PEMFC-bat_09.02.2023, lifetime = 20 years (accounted for in mother process)</t>
  </si>
  <si>
    <t>market for polyethylene terephthalate, granulate, bottle grade</t>
  </si>
  <si>
    <t>proxy for Polymer, Polyethylene naphthalate (PEN)</t>
  </si>
  <si>
    <t xml:space="preserve"> +-20%</t>
  </si>
  <si>
    <t>1074851CC9A34C6FB172724D65A022CF</t>
  </si>
  <si>
    <t>Table 8  from GENESIS_LCI_fuel cell_PEM_medium-term_PEMFC-bat_09.02.2023, lifetime = 20 years (accounted for in mother process)</t>
  </si>
  <si>
    <t>market for steel, chromium steel 18/8</t>
  </si>
  <si>
    <t>+ / - 20 %</t>
  </si>
  <si>
    <t>market for sheet rolling, steel</t>
  </si>
  <si>
    <t>market for silicone product</t>
  </si>
  <si>
    <t>+ / - 30 %</t>
  </si>
  <si>
    <t>+ / - 100 %</t>
  </si>
  <si>
    <t>selective coating, copper sheet, sputtering</t>
  </si>
  <si>
    <t>m2</t>
  </si>
  <si>
    <t>022B6D9DAE1D4B6DBEDA09307E393F05</t>
  </si>
  <si>
    <t>Table 9  from GENESIS_LCI_fuel cell_PEM_medium-term_PEMFC-bat_09.02.2023, lifetime = 20 years (accounted for in mother process)</t>
  </si>
  <si>
    <t>market for nylon 6-6</t>
  </si>
  <si>
    <t xml:space="preserve">  + - 50%</t>
  </si>
  <si>
    <t>market for injection moulding</t>
  </si>
  <si>
    <t>5310B8E537ED4A19B1404FFA26853920</t>
  </si>
  <si>
    <t>Table 10  from GENESIS_LCI_fuel cell_PEM_medium-term_PEMFC-bat_09.02.2023, lifetime = 20 years (accounted for in mother process)</t>
  </si>
  <si>
    <t xml:space="preserve">  + - 20%</t>
  </si>
  <si>
    <t>AD426E01A0EA4C1F8EDB52DE0FFABBEA</t>
  </si>
  <si>
    <t>Table 10A  from GENESIS_LCI_fuel cell_PEM_medium-term_PEMFC-bat_09.02.2023, lifetime = 20 years (accounted for in mother process)</t>
  </si>
  <si>
    <t>AC0BDBFE250F43218B722D7D8EEFE851</t>
  </si>
  <si>
    <t>Table 10B from GENESIS_LCI_fuel cell_PEM_medium-term_PEMFC-bat_09.02.2023, lifetime = 20 years (accounted for in mother process)</t>
  </si>
  <si>
    <t>market for electronics, for control units</t>
  </si>
  <si>
    <t>17A12C43BF064A4FA3248500D91FB5FF</t>
  </si>
  <si>
    <t>Table 10C from GENESIS_LCI_fuel cell_PEM_medium-term_PEMFC-bat_09.02.2023, lifetime = 20 years (accounted for in mother process)</t>
  </si>
  <si>
    <t xml:space="preserve"> + - 10</t>
  </si>
  <si>
    <t>market for nickel, class 1</t>
  </si>
  <si>
    <t>market for gold</t>
  </si>
  <si>
    <t>market for sheet rolling, copper</t>
  </si>
  <si>
    <t>0438BB40B7E9422CB5FED40CAC75A86F</t>
  </si>
  <si>
    <t>Table 10D from GENESIS_LCI_fuel cell_PEM_medium-term_PEMFC-bat_09.02.2023, lifetime = 20 years (accounted for in mother process)</t>
  </si>
  <si>
    <t>market for polyurethane, rigid foam</t>
  </si>
  <si>
    <t xml:space="preserve"> + - 100</t>
  </si>
  <si>
    <t>market for thermoforming of plastic sheets</t>
  </si>
  <si>
    <t>0EE3447CDF7A4653A04EB060DFDF0729</t>
  </si>
  <si>
    <t>Table 11 from GENESIS_LCI_fuel cell_PEM_medium-term_PEMFC-bat_09.02.2023, lifetime = 20 years (accounted for in mother process)</t>
  </si>
  <si>
    <t>81B2AB897E5E4C09868614CBC21F17E6</t>
  </si>
  <si>
    <t>Table 12 from GENESIS_LCI_fuel cell_PEM_medium-term_PEMFC-bat_09.02.2023, lifetime = 10 years (accounted for in mother process)</t>
  </si>
  <si>
    <t>market for air compressor, screw-type compressor, 4kW</t>
  </si>
  <si>
    <t>Production of Intercooler / humidifier</t>
  </si>
  <si>
    <t>table 12.1</t>
  </si>
  <si>
    <t>1 compressor = 140 kg</t>
  </si>
  <si>
    <t>we need</t>
  </si>
  <si>
    <t>units</t>
  </si>
  <si>
    <t>Production of Air Filter</t>
  </si>
  <si>
    <t>table 12.2</t>
  </si>
  <si>
    <t>Production of DC/DC converter as part of compressor</t>
  </si>
  <si>
    <t>table 12.3</t>
  </si>
  <si>
    <t>6FB80BFB5BD64FF196F8FF19D9F312D5</t>
  </si>
  <si>
    <t>Table 12.1 from GENESIS_LCI_fuel cell_PEM_medium-term_PEMFC-bat_09.02.2023, lifetime = 10 years (accounted for in mother process)</t>
  </si>
  <si>
    <t>market for metal working, average for chromium steel product manufacturing</t>
  </si>
  <si>
    <t>89167C7C8D1D463AA72BB351753E7B0A</t>
  </si>
  <si>
    <t>Table 12.2 from GENESIS_LCI_fuel cell_PEM_medium-term_PEMFC-bat_09.02.2023, lifetime = 10 years (accounted for in mother process)</t>
  </si>
  <si>
    <t>market for polycarbonate</t>
  </si>
  <si>
    <t xml:space="preserve"> + - 50</t>
  </si>
  <si>
    <t>market for activated carbon, granular</t>
  </si>
  <si>
    <t>2723DA03B49C4C97A9448763E6164197</t>
  </si>
  <si>
    <t>Table 12.3 from GENESIS_LCI_fuel cell_PEM_medium-term_PEMFC-bat_09.02.2023, lifetime = 10 years (accounted for in mother process)</t>
  </si>
  <si>
    <t>market for aluminium, wrought alloy</t>
  </si>
  <si>
    <t>market for copper, anode</t>
  </si>
  <si>
    <t>market for metal working, average for aluminium product manufacturing</t>
  </si>
  <si>
    <t>B49D338D7A0848B6994E20C7FEA4F0F8</t>
  </si>
  <si>
    <t>Table 13 from GENESIS_LCI_fuel cell_PEM_medium-term_PEMFC-bat_09.02.2023, lifetime = 10 years (accounted for in mother process)</t>
  </si>
  <si>
    <t>FAB633DDF1A34D928371249C0C113319</t>
  </si>
  <si>
    <t>Table 14 from GENESIS_LCI_fuel cell_PEM_medium-term_PEMFC-bat_09.02.2023, lifetime = 10 years (accounted for in mother process)</t>
  </si>
  <si>
    <t>3FE8416483B24F74B4B750B113FC2534</t>
  </si>
  <si>
    <t>Table 15 from GENESIS_LCI_fuel cell_PEM_medium-term_PEMFC-bat_09.02.2023, lifetime = 20 years (accounted for in mother process)</t>
  </si>
  <si>
    <t>EDF1BAC13FE34470BF2E5CC0627ED9F8</t>
  </si>
  <si>
    <t>Table 16 from GENESIS_LCI_fuel cell_PEM_medium-term_PEMFC-bat_09.02.2023, lifetime = 5 years (accounted for in mother process)</t>
  </si>
  <si>
    <t>market for cationic resin</t>
  </si>
  <si>
    <t>F4FA76E538C14647A55093ADD2EA0E1D</t>
  </si>
  <si>
    <t>Table 17 from GENESIS_LCI_fuel cell_PEM_medium-term_PEMFC-bat_09.02.2023, lifetime = 5 years (accounted for in mother process)</t>
  </si>
  <si>
    <t>C411C5344EFF48E883BA8D678ABD9981</t>
  </si>
  <si>
    <t>Table 17 from GENESIS_LCI_fuel cell_PEM_medium-term_PEMFC-bat_09.02.2023, lifetime =  20years (accounted for in mother process)</t>
  </si>
  <si>
    <t xml:space="preserve"> + - 30</t>
  </si>
  <si>
    <t>94B1213DF08B40F7A40FE6495BDE6940</t>
  </si>
  <si>
    <t>market for synthetic rubber</t>
  </si>
  <si>
    <t>production of compressed H2 insulated storage system</t>
  </si>
  <si>
    <t>H2 storage</t>
  </si>
  <si>
    <t>B1F2965604B543BDBC0B6E13E28BB683</t>
  </si>
  <si>
    <t>Production of 1 compressed H2 insulated storage system weighting 694.7 kg according to GENESIS_LCI_H2_onboard_storage_medium-term_PEMFC_v01.xlsx Table A</t>
  </si>
  <si>
    <t>production of pressure vessel</t>
  </si>
  <si>
    <t>production of balance of plant</t>
  </si>
  <si>
    <t>production of support frame</t>
  </si>
  <si>
    <t>DC89F14B1A72412FA7E5D86220E14B79</t>
  </si>
  <si>
    <t>Production of 1 pressure vessel weighting 675.8 kg according to GENESIS_LCI_H2_onboard_storage_medium-term_PEMFC_v01.xlsx Table A.1</t>
  </si>
  <si>
    <t>market for steel, chromium steel 18/8, hot rolled</t>
  </si>
  <si>
    <t>market for acetone, liquid</t>
  </si>
  <si>
    <t>Density 0.791 g/mL</t>
  </si>
  <si>
    <t>market for kraft paper</t>
  </si>
  <si>
    <t>46BDA24A89D147FAB31D819C3A7EA48C</t>
  </si>
  <si>
    <t>Production of 1 balance of plant weighting 13.7 kg according to GENESIS_LCI_H2_onboard_storage_medium-term_PEMFC_v01.xlsx Table A.2</t>
  </si>
  <si>
    <t>market for ferrochromium, high-carbon, 55% Cr</t>
  </si>
  <si>
    <t>5D1C715D33634E4FAE1E1BE79D61310A</t>
  </si>
  <si>
    <t>Production of 1 support frame weighting 5.2 kg according to GENESIS_LCI_H2_onboard_storage_medium-term_PEMFC_v01.xlsx Table A.3</t>
  </si>
  <si>
    <t>production of motors and drives, PEMFC-bat, Medium-Term</t>
  </si>
  <si>
    <t>Motors and Drives</t>
  </si>
  <si>
    <t>FDCAE45DD09D42B69573A1C2FA1F1071</t>
  </si>
  <si>
    <t>Table 0 of GENESIS_LCI_power_elec_drives_medium-term, PEMFC-bat_v01.xlsx</t>
  </si>
  <si>
    <t>all lifetimes are 15+</t>
  </si>
  <si>
    <t>production of electric motor, PEMFC-bat, Medium-Term</t>
  </si>
  <si>
    <t>568821E10A544F8EB6CE1C8C3E9A97E2</t>
  </si>
  <si>
    <t>Table H1 of GENESIS_LCI_power_elec_drives_medium-term, PEMFC-bat_v01.xlsx</t>
  </si>
  <si>
    <t>production of stator and rotor, motor, PEMFC-bat, Medium-Term</t>
  </si>
  <si>
    <t>production of bearings, motor, PEMFC-bat, Medium-Term</t>
  </si>
  <si>
    <t>production of housing, motor, PEMFC-bat, Medium-Term</t>
  </si>
  <si>
    <t>D858FE27592445AAACA113A4FC35A73F</t>
  </si>
  <si>
    <t>Table H1.1 of GENESIS_LCI_power_elec_drives_medium-term, PEMFC-bat_v01.xlsx</t>
  </si>
  <si>
    <t>market for steel, low-alloyed, hot rolled</t>
  </si>
  <si>
    <t>stator</t>
  </si>
  <si>
    <t>rotor</t>
  </si>
  <si>
    <t>assumption for copper coil</t>
  </si>
  <si>
    <t>market for wire drawing, copper</t>
  </si>
  <si>
    <t>market for epoxy resin, liquid</t>
  </si>
  <si>
    <t>Direct cooled stator, POTTING WINDING EPOXY RESIN</t>
  </si>
  <si>
    <t>market for permanent magnet, for electric motor</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</si>
  <si>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</si>
  <si>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</si>
  <si>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</si>
  <si>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</si>
  <si>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</si>
  <si>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</si>
  <si>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</si>
  <si>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</si>
  <si>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</si>
  <si>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</si>
  <si>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</si>
  <si>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</si>
  <si>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</si>
  <si>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</si>
  <si>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</si>
  <si>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</si>
  <si>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</si>
  <si>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</si>
  <si>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</si>
  <si>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</si>
  <si>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Hydrocarbons, aliphatic, alkanes, unspecified</t>
  </si>
  <si>
    <t>assumption for hydrocarbons (impregnation and curing) to air</t>
  </si>
  <si>
    <t>03CDC8C68047475E83E927CEC317FA8B</t>
  </si>
  <si>
    <t>Table H1.2 of GENESIS_LCI_power_elec_drives_medium-term, PEMFC-bat_v01.xlsx</t>
  </si>
  <si>
    <t xml:space="preserve">one process for Bearing; SKF_6013_2Z_PART2 - Steel-M270-35A 
Bearing; SKF_6013_2Z_PART3 - Steel-M270-35A 
Bearing_Bush_Loose_Bearing; Steel-M270-35A 
Bearing_Bush_Fixed_Bearing; Steel-M270-35A </t>
  </si>
  <si>
    <t>asusmption for Bearing; SKF_6013_2Z_PART1-Aluminium- ENAW-AlMg4,5Mn0,7</t>
  </si>
  <si>
    <t>Electricity, Spline milling of 3.5 com of the shaft end</t>
  </si>
  <si>
    <t>Electricity, Induction surface hardening of 3.5 cm of the shaft end</t>
  </si>
  <si>
    <t>Waste Oil</t>
  </si>
  <si>
    <t>Europe without Switzerland</t>
  </si>
  <si>
    <t>Waste oil, conc. share in dilution; Turning</t>
  </si>
  <si>
    <t>Waste oil, conc. share in dilution; Spline milling of 3.5 com of the shaft end</t>
  </si>
  <si>
    <t>90089A86D1A648329BBA84E9FB1AF526</t>
  </si>
  <si>
    <t>Table G1.3 of GENESIS_LCI_power_elec_drives_medium-term, PEMFC-bat_v01.xlsx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</si>
  <si>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</si>
  <si>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</si>
  <si>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</si>
  <si>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</si>
  <si>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</si>
  <si>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</si>
  <si>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</si>
  <si>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</si>
  <si>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</si>
  <si>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basic functions</t>
  </si>
  <si>
    <t>Electricity, Technical building services - general work</t>
  </si>
  <si>
    <t>Aluminum scrap, Machining of housing parts</t>
  </si>
  <si>
    <t>treatment for Aluminum scrap, Machining of housing parts</t>
  </si>
  <si>
    <t>Waste oil, conc. share in dilution, Machining of housing parts</t>
  </si>
  <si>
    <t>NMVOC, non-methane volatile organic compounds, unspecified origin</t>
  </si>
  <si>
    <t>VOC; Painting</t>
  </si>
  <si>
    <t>production of power electronics, PEMFC-bat, Medium-Term</t>
  </si>
  <si>
    <t>Power plant</t>
  </si>
  <si>
    <t>19643B49AEDA4E59BB56245AB3500C11</t>
  </si>
  <si>
    <t>Table 0 of GENESIS_LCI_power_elec_drives_medium-term, PEMFC-bat_v01.xlsx. 1 unit corresponds to 226.91 kg of power electronics</t>
  </si>
  <si>
    <t>weight 1 unit</t>
  </si>
  <si>
    <t>Production of non-isolating unidirectional fuel cell DC/DC converter</t>
  </si>
  <si>
    <t>C</t>
  </si>
  <si>
    <t>production of DC/AC grid inverter, PEMFC-bat, Medium-Term</t>
  </si>
  <si>
    <t>A</t>
  </si>
  <si>
    <t>production of isolating DC/DC grid converter, PEMFC-bat, Medium-Term</t>
  </si>
  <si>
    <t>B</t>
  </si>
  <si>
    <t>production of motor traction drive inverter DCAC, PEMFC-bat, Medium-Term</t>
  </si>
  <si>
    <t>D</t>
  </si>
  <si>
    <t>production of bidirectional battery DCDC converter, PEMFC-bat, Medium-Term</t>
  </si>
  <si>
    <t>E</t>
  </si>
  <si>
    <t>Solder paste waste</t>
  </si>
  <si>
    <t>this sheet is the same for each component</t>
  </si>
  <si>
    <t>Power electronics</t>
  </si>
  <si>
    <t>A80292A8D42945838A031D4EA5042C0E</t>
  </si>
  <si>
    <t>negative</t>
  </si>
  <si>
    <t>market for spent solvent mixture</t>
  </si>
  <si>
    <t>Hazardous waste incineration</t>
  </si>
  <si>
    <t>A99C8E82BEC84102822EFB675B6F8E6D</t>
  </si>
  <si>
    <t>36081798BBDC4BE494A01CA9530D2D56</t>
  </si>
  <si>
    <t>market for waste mineral oil</t>
  </si>
  <si>
    <t>production of driver board, assembled</t>
  </si>
  <si>
    <t>3172A1C13ED9451AA09B1C7ABDCF2809</t>
  </si>
  <si>
    <t xml:space="preserve">Based on Scalable power electronic inverter unit LCI Model, version 1.01 from Nörderlof et al. </t>
  </si>
  <si>
    <t>production of driver board, unassembled</t>
  </si>
  <si>
    <t>market for dipropylene glycol monomethyl ether</t>
  </si>
  <si>
    <t>market for water, deionised</t>
  </si>
  <si>
    <t>market for solder, paste, Sn95.5Ag3.9Cu0.6, for electronics industry</t>
  </si>
  <si>
    <t>market for isohexane</t>
  </si>
  <si>
    <t>market for benzaldehyde</t>
  </si>
  <si>
    <t>market for [thio]carbamate-compound</t>
  </si>
  <si>
    <t>market for butyl acetate</t>
  </si>
  <si>
    <t>Ethanol</t>
  </si>
  <si>
    <t>5D9710D892F54090A5888D8C7C530BD9</t>
  </si>
  <si>
    <t>printed wiring board production, for surface mounting, Pb free surface</t>
  </si>
  <si>
    <t>dm²</t>
  </si>
  <si>
    <t>market for capacitor, electrolyte type, &lt; 2cm height</t>
  </si>
  <si>
    <t>market for capacitor, for surface-mounting</t>
  </si>
  <si>
    <t>market for capacitor, tantalum-, for through-hole mounting</t>
  </si>
  <si>
    <t>market for electric connector, wire clamp</t>
  </si>
  <si>
    <t>market for light emitting diode</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</si>
  <si>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</si>
  <si>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</si>
  <si>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</si>
  <si>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</si>
  <si>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</si>
  <si>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</si>
  <si>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t>
  </si>
  <si>
    <t>952A448F4CF64645BF39715B485D47D7</t>
  </si>
  <si>
    <t>here kilograms are required for further assembly, I assume the square meterage and weight correspond</t>
  </si>
  <si>
    <t>production of logic board, assembled, without connector</t>
  </si>
  <si>
    <t>m²</t>
  </si>
  <si>
    <t>market for electric connector, peripheral component interconnect buss</t>
  </si>
  <si>
    <t>market for adipic acid</t>
  </si>
  <si>
    <t>2F01CC7A0A0949D0A924EF141BAF49A6</t>
  </si>
  <si>
    <t>production of logic board, unassembled</t>
  </si>
  <si>
    <t>7F73A38438254802B369648EB9F23B22</t>
  </si>
  <si>
    <t>market for switch, toggle type</t>
  </si>
  <si>
    <t>market for integrated circuit, memory type</t>
  </si>
  <si>
    <t>market for inductor, low value multilayer chip</t>
  </si>
  <si>
    <t>market for inductor, ring core choke type</t>
  </si>
  <si>
    <t>662C0E4647AF4FFA8D84983806335A29</t>
  </si>
  <si>
    <t>Table B1 of GENESIS_LCI_power_elec_drives_medium-term, PEMFC-bat_v01.xlsx. 1 unit corresponds to 4.4 kg of DC/AC grid inverter</t>
  </si>
  <si>
    <t>capacitor production, auxilliaries and energy use</t>
  </si>
  <si>
    <t>production of  IGBT power module, complete, DCAC grid inverter, PEMFC-bat, Medium-Term</t>
  </si>
  <si>
    <t>production of Galvanized terminals, screws and washers, DCAC grid inverter, PEMFC-bat, Medium-Term</t>
  </si>
  <si>
    <t>m2/kg</t>
  </si>
  <si>
    <t>production of plated cable glands, DCAC grid inverter, PEMFC-bat, Medium-Term</t>
  </si>
  <si>
    <t>market for nylon 6, glass-filled</t>
  </si>
  <si>
    <t>Lamellar inserts(for glands)</t>
  </si>
  <si>
    <t>O-rings and gland seals (for glands)</t>
  </si>
  <si>
    <t>Nylon distance spacers</t>
  </si>
  <si>
    <t>Bus bar, laminated, DCAC grid inverter, PEMFC-bat, Medium-Term</t>
  </si>
  <si>
    <t>production of machined casing, DCAC grid inverter, PEMFC-bat, Medium-Term</t>
  </si>
  <si>
    <t>assuming 1kg is one unit?</t>
  </si>
  <si>
    <t>assuming unit = kg</t>
  </si>
  <si>
    <t>market for aluminium oxide, metallurgical</t>
  </si>
  <si>
    <t>TIM - aluminium oxide</t>
  </si>
  <si>
    <t>market for zinc oxide</t>
  </si>
  <si>
    <t>TIM - zinc oxide</t>
  </si>
  <si>
    <t>TIM - silicone oil</t>
  </si>
  <si>
    <t>electricity demand for building services in PCB assembly and for final unit assembly</t>
  </si>
  <si>
    <t>electricity demand for building services in the DCB and power module assembly</t>
  </si>
  <si>
    <t>electricity demand for buiding services in casing manufacturing</t>
  </si>
  <si>
    <t>4,4 kg</t>
  </si>
  <si>
    <t>weight check</t>
  </si>
  <si>
    <t>E16BAF698942449382BF33CCC23DC7CD</t>
  </si>
  <si>
    <t>production of Galvanization layer, DCAC grid inverter, PEMFC-bat, Medium-Term</t>
  </si>
  <si>
    <t>m2/KG</t>
  </si>
  <si>
    <t>production of Cleaned terminals, screws and washers, DCAC grid inverter, PEMFC-bat, Medium-Term</t>
  </si>
  <si>
    <t>see below</t>
  </si>
  <si>
    <t>market for zinc</t>
  </si>
  <si>
    <t>dm³</t>
  </si>
  <si>
    <t>M3</t>
  </si>
  <si>
    <t>3A4A6712158C42AE90B8E75E0FF35604</t>
  </si>
  <si>
    <t>Hazardous waste disposed</t>
  </si>
  <si>
    <t>inventory indicator::waste</t>
  </si>
  <si>
    <t>E6B4B560C4F34769B4B7B797397CE08D</t>
  </si>
  <si>
    <t>so 0,25 kg screws corresponds to 0,05m2</t>
  </si>
  <si>
    <t>production of Steel terminals, screws and washers, DCAC grid inverter, PEMFC-bat, Medium-Term</t>
  </si>
  <si>
    <t>market for sulfuric acid</t>
  </si>
  <si>
    <t>production of nickel in plated layer, DCAC grid inverter, PEMFC-bat, Medium-Term</t>
  </si>
  <si>
    <t>64CC1EF1D39C4CBCBC2FAF101DD562A5</t>
  </si>
  <si>
    <t>market for nickel-rich materials</t>
  </si>
  <si>
    <t>74702F7A85CC48B0989148E70BFFC2EA</t>
  </si>
  <si>
    <t>market for section bar rolling, steel</t>
  </si>
  <si>
    <t>production of copper bus bars, contacts, plates and foils, DCAC grid inverter, PEMFC-bat, Medium-Term</t>
  </si>
  <si>
    <t>8F71F806C30F411FA06437CA4B9D8F20</t>
  </si>
  <si>
    <t xml:space="preserve">production </t>
  </si>
  <si>
    <t>metal working, average for copper product manufacturing</t>
  </si>
  <si>
    <t>C6EFA39109CB447C9B16633DD402F298</t>
  </si>
  <si>
    <t>extrusion, co-extrusion of plastic sheets</t>
  </si>
  <si>
    <t>market for laminating service, foil, with acrylic binder</t>
  </si>
  <si>
    <t>2399AB94B4294FD7B185DD5613B95484</t>
  </si>
  <si>
    <t>nickel</t>
  </si>
  <si>
    <t>density</t>
  </si>
  <si>
    <t>kg/m3</t>
  </si>
  <si>
    <t>layer thickness</t>
  </si>
  <si>
    <t>m</t>
  </si>
  <si>
    <t>so</t>
  </si>
  <si>
    <t>kg/m2</t>
  </si>
  <si>
    <t>dm2</t>
  </si>
  <si>
    <t>production of cleaned cable glands, DCAC grid inverter, PEMFC-bat, Medium-Term</t>
  </si>
  <si>
    <t>40AF5410AB904E7C8443E7DC509152AA</t>
  </si>
  <si>
    <t>production of brass cable glands, DCAC grid inverter, PEMFC-bat, Medium-Term</t>
  </si>
  <si>
    <t>BD7B8DA2E9384FE5AC0D54852F3299BC</t>
  </si>
  <si>
    <t>casting, brass</t>
  </si>
  <si>
    <t>market for brass removed by turning, average, conventional</t>
  </si>
  <si>
    <t>3E8A49FEAB7E44DB8983B023EF8D35BC</t>
  </si>
  <si>
    <t>production of machined casing, mass scaled activities, DCAC grid inverter, PEMFC-bat, Medium-Term</t>
  </si>
  <si>
    <t>market for naphtha</t>
  </si>
  <si>
    <t>market for tap water</t>
  </si>
  <si>
    <t>B01C924E458945DCA930B8BAB7988C6E</t>
  </si>
  <si>
    <t>production of die cast casing parts, DCAC grid inverter, PEMFC-bat, Medium-Term</t>
  </si>
  <si>
    <t>aluminium ingot, primary, to aluminium, wrought alloy market</t>
  </si>
  <si>
    <t>43E81DDF0F094265B3BBE12D2559D050</t>
  </si>
  <si>
    <t>market for lubricating oil</t>
  </si>
  <si>
    <t>Aluminium</t>
  </si>
  <si>
    <t>C1371C0617E94791B943A3BF8C0B5B45</t>
  </si>
  <si>
    <t>production of Power module, open, potted, DCAC grid inverter, PEMFC-bat, Medium-Term</t>
  </si>
  <si>
    <t>production of Lid, injection moulded, DCAC grid inverter, PEMFC-bat, Medium-Term</t>
  </si>
  <si>
    <t>3854F4ADCE9341148F0D4EF2C5240B92</t>
  </si>
  <si>
    <t>market for polyphenylene sulfide</t>
  </si>
  <si>
    <t>market for antimony</t>
  </si>
  <si>
    <t>market for glass fibre</t>
  </si>
  <si>
    <t>27C55AD70816435B96A85E54D619E865</t>
  </si>
  <si>
    <t>production of potting gel layer, DCAC grid inverter, PEMFC-bat, Medium-Term</t>
  </si>
  <si>
    <t>production of power module, open, wire bonded, DCAC grid inverter, PEMFC-bat, Medium-Term</t>
  </si>
  <si>
    <t>6F7A9B68E02541599A2BC93E9BC3A109</t>
  </si>
  <si>
    <t>4B2BB85C65044F71A33CEB4E937815B0</t>
  </si>
  <si>
    <t>production of Copper Wire, DCAC grid inverter, PEMFC-bat, Medium-Term</t>
  </si>
  <si>
    <t>production of baseplate module with frame, cleaned, DCAC grid inverter, PEMFC-bat, Medium-Term</t>
  </si>
  <si>
    <t>C4AAAB39F17A40F78583ECCF20DA41C1</t>
  </si>
  <si>
    <t>611CA00B25224806A16113D7CDA39CBD</t>
  </si>
  <si>
    <t>production of baseplate module with frame, DCAC grid inverter, PEMFC-bat, Medium-Term</t>
  </si>
  <si>
    <t>C449984D49B348DFB8CE304B0E7C7B9C</t>
  </si>
  <si>
    <t>production of baseplate module without frame, cleaned, DCAC grid inverter, PEMFC-bat, Medium-Term</t>
  </si>
  <si>
    <t>assuming</t>
  </si>
  <si>
    <t>Prodcution of frame with bonded terminals, DCAC grid inverter, PEMFC-bat, Medium-Term, DCAC grid inverter, PEMFC-bat, Medium-Term</t>
  </si>
  <si>
    <t>37376433118A466AAD58252554CB045A</t>
  </si>
  <si>
    <t>1B892CA83D7446B9AE7EE59F161D6A76</t>
  </si>
  <si>
    <t>production of baseplate module without frame, DCAC grid inverter, PEMFC-bat, Medium-Term</t>
  </si>
  <si>
    <t>BE9D2E79C8754C228BB32FE7A653CFD6</t>
  </si>
  <si>
    <t>production of DCB, with IGBT chips attached, DCAC grid inverter, PEMFC-bat, Medium-Term</t>
  </si>
  <si>
    <t>production of baseplate, to furnace, DCAC grid inverter, PEMFC-bat, Medium-Term, DCAC grid inverter, PEMFC-bat, Medium-Term</t>
  </si>
  <si>
    <t>BB253033F4FF479FB296FE0B68D1CDBE</t>
  </si>
  <si>
    <t>production of baseplate, cleaned and baked, DCAC grid inverter, PEMFC-bat, Medium-Term</t>
  </si>
  <si>
    <t>A8E903E56C3849488E7DBF773251C99C</t>
  </si>
  <si>
    <t>production of baseplate, nickel plated, DCAC grid inverter, PEMFC-bat, Medium-Term</t>
  </si>
  <si>
    <t>5B9F60C0D9B14C3EB3C728814D939189</t>
  </si>
  <si>
    <t>production of cleaned bus bars, contacts, plates and foils, DCAC grid inverter, PEMFC-bat, Medium-Term</t>
  </si>
  <si>
    <t>B611341FC5134D0491E44EFE68F60913</t>
  </si>
  <si>
    <t>76B5B57BFB03466C98171A0F222C91F2</t>
  </si>
  <si>
    <t>production of DCB substrate, to furnace, DCAC grid inverter, PEMFC-bat, Medium-Term</t>
  </si>
  <si>
    <t>production of diced IGBT chips, DCAC grid inverter, PEMFC-bat, Medium-Term</t>
  </si>
  <si>
    <t>35C81F3FB08142A7A255C0561F11E68F</t>
  </si>
  <si>
    <t>wafer production, fabricated, for integrated circuit</t>
  </si>
  <si>
    <t>cm2</t>
  </si>
  <si>
    <t>FB54B1A291D643FDAC605B7D967176FE</t>
  </si>
  <si>
    <t>production of DCB substrate, cleaned and baked, DCAC grid inverter, PEMFC-bat, Medium-Term</t>
  </si>
  <si>
    <t>1EA4891010044F1EB379EC662B47169B</t>
  </si>
  <si>
    <t>production of DCB, patterned, nickel plated, DCAC grid inverter, PEMFC-bat, Medium-Term</t>
  </si>
  <si>
    <t>E8C771B9122A4F2F955475969F543B00</t>
  </si>
  <si>
    <t>production of DCB, patterned, DCAC grid inverter, PEMFC-bat, Medium-Term</t>
  </si>
  <si>
    <t>3645DD49330B45B3AAFC805E90FBE6E5</t>
  </si>
  <si>
    <t>production of DCB, before etching, DCAC grid inverter, PEMFC-bat, Medium-Term</t>
  </si>
  <si>
    <t>market for potassium carbonate</t>
  </si>
  <si>
    <t>market for chemical, organic</t>
  </si>
  <si>
    <t>market for potassium hydroxide</t>
  </si>
  <si>
    <t>8C37BFC6128549B9810E97AF990DF21E</t>
  </si>
  <si>
    <t>production of Alumina substrate, DCAC grid inverter, PEMFC-bat, Medium-Term</t>
  </si>
  <si>
    <t>6D7EE315F8274D1CA374FAD2C59DAF62</t>
  </si>
  <si>
    <t>acrylic dispersion production, product in 65% solution state</t>
  </si>
  <si>
    <t>market for glycerine</t>
  </si>
  <si>
    <t>acrylic binder production, product in 34% solution state</t>
  </si>
  <si>
    <t>market for water, ultrapure</t>
  </si>
  <si>
    <t>Ammonia</t>
  </si>
  <si>
    <t>Carbon monoxide, fossil</t>
  </si>
  <si>
    <t>18A6A12E73F54416BFDBBC775D9DAEA5</t>
  </si>
  <si>
    <t>Driver board, assembled</t>
  </si>
  <si>
    <t>Logic board, assembled, with connector</t>
  </si>
  <si>
    <t>DC link capacitor</t>
  </si>
  <si>
    <t>production of  IGBT power module, complete, isolating DCDC converter, PEMFC-bat, Medium-Term</t>
  </si>
  <si>
    <t>IGBT power module, complete</t>
  </si>
  <si>
    <t>production of Galvanized terminals, screws and washers, isolating DCDC converter, PEMFC-bat, Medium-Term</t>
  </si>
  <si>
    <t>see assumption about kg/m2 in "Reusable"</t>
  </si>
  <si>
    <t>Galvanized screws and washers</t>
  </si>
  <si>
    <t>production of plated cable glands, isolating DCDC converter, PEMFC-bat, Medium-Term</t>
  </si>
  <si>
    <t>Plated cable glands</t>
  </si>
  <si>
    <t>extrusion, plastic pipes</t>
  </si>
  <si>
    <t>Bus bar, laminated, isolating DCDC converter, PEMFC-bat, Medium-Term</t>
  </si>
  <si>
    <t xml:space="preserve">Bus bar, laminated </t>
  </si>
  <si>
    <t>production of machined casing, isolating DCDC converter, PEMFC-bat, Medium-Term</t>
  </si>
  <si>
    <t>Machined casing, surface treated</t>
  </si>
  <si>
    <t>electricity demand for building services in PCB assembly and for final inverter unit assembly</t>
  </si>
  <si>
    <t>BE9E7DA78BBC4A98BCEECDFA131F1209</t>
  </si>
  <si>
    <t>production of Galvanization layer, isolating DCDC converter, PEMFC-bat, Medium-Term</t>
  </si>
  <si>
    <t>assuming 0,1875 m2/kg</t>
  </si>
  <si>
    <t>production of Cleaned terminals, screws and washers, isolating DCDC converter, PEMFC-bat, Medium-Term</t>
  </si>
  <si>
    <t>754B86E57B184419A9294BDE7963E724</t>
  </si>
  <si>
    <t>7062CCD7DC034E5CBCDC80627AEDEB51</t>
  </si>
  <si>
    <t>so 0,2 kg screws corresponds to 0,03 m2</t>
  </si>
  <si>
    <t>so 0,03 m2= 0,16kg</t>
  </si>
  <si>
    <t>production of Steel terminals, screws and washers, isolating DCDC converter, PEMFC-bat, Medium-Term</t>
  </si>
  <si>
    <t>production of nickel in plated layer, isolating DCDC converter, PEMFC-bat, Medium-Term</t>
  </si>
  <si>
    <t>294F01866DEB4F11B6B2271C7D214EB3</t>
  </si>
  <si>
    <t>3DC7B4C9CBCB40A3B7301F0993B804EC</t>
  </si>
  <si>
    <t>production of copper bus bars, contacts, plates and foils, isolating DCDC converter, PEMFC-bat, Medium-Term</t>
  </si>
  <si>
    <t>388DD3CED90E44F7A835516BA60D19C7</t>
  </si>
  <si>
    <t>16F40ABA6983492786A587118FEDF61E</t>
  </si>
  <si>
    <t>E208D2B34CFD4322977FCEB7E454F98F</t>
  </si>
  <si>
    <t>production of cleaned cable glands, isolating DCDC converter, PEMFC-bat, Medium-Term</t>
  </si>
  <si>
    <t>0DEBF9ACE0454B68975E5015B9F44309</t>
  </si>
  <si>
    <t>production of brass cable glands, isolating DCDC converter, PEMFC-bat, Medium-Term</t>
  </si>
  <si>
    <t>8F5F897D4C1B4544BE283A060AF033F4</t>
  </si>
  <si>
    <t>assuming that the weight is equivbalent to area in mother process</t>
  </si>
  <si>
    <t>7ED5E047E9A146FC84FAB0E57D4112A5</t>
  </si>
  <si>
    <t>production of machined casing, mass scaled activities, isolating DCDC converter, PEMFC-bat, Medium-Term</t>
  </si>
  <si>
    <t>9FCA5D739B4241929A0091120B144E97</t>
  </si>
  <si>
    <t>production of die cast casing parts, isolating DCDC converter, PEMFC-bat, Medium-Term</t>
  </si>
  <si>
    <t>9CD90630109F4C0B9204EF26884DFD03</t>
  </si>
  <si>
    <t>00058A197ADC4A6CA22CA6AEA47D33E5</t>
  </si>
  <si>
    <t>ASSUMING THAT 1 unit is equivalent given in the overall assembly</t>
  </si>
  <si>
    <t>production of Power module, open, potted, isolating DCDC converter, PEMFC-bat, Medium-Term</t>
  </si>
  <si>
    <t>production of Lid, injection moulded, isolating DCDC converter, PEMFC-bat, Medium-Term</t>
  </si>
  <si>
    <t>709D786EEFBF47458AFB7FA3F750D1C3</t>
  </si>
  <si>
    <t>6FFD5DDB43304FBE87FB8CDBE5117A0F</t>
  </si>
  <si>
    <t>production of potting gel layer, isolating DCDC converter, PEMFC-bat, Medium-Term</t>
  </si>
  <si>
    <t>production of power module, open, wire bonded, isolating DCDC converter, PEMFC-bat, Medium-Term</t>
  </si>
  <si>
    <t>C88054F6FA984A3389B126F60012A497</t>
  </si>
  <si>
    <t>4F3D34C7A3984C12B3F4C20078B1B72B</t>
  </si>
  <si>
    <t>production of Copper Wire, isolating DCDC converter, PEMFC-bat, Medium-Term</t>
  </si>
  <si>
    <t>production of baseplate module with frame, cleaned, isolating DCDC converter, PEMFC-bat, Medium-Term</t>
  </si>
  <si>
    <t>925D91AE5EBE40A9B00232C6956BFDF6</t>
  </si>
  <si>
    <t>84747439AC2D47D3B798C30CF2FC47C2</t>
  </si>
  <si>
    <t>production of baseplate module with frame, isolating DCDC converter, PEMFC-bat, Medium-Term</t>
  </si>
  <si>
    <t>D0033B47FB454634865ABA2F37733CA0</t>
  </si>
  <si>
    <t>production of baseplate module without frame, cleaned, isolating DCDC converter, PEMFC-bat, Medium-Term</t>
  </si>
  <si>
    <t>Prodcution of frame with bonded terminals, isolating DCDC converter, PEMFC-bat, Medium-Term</t>
  </si>
  <si>
    <t>88980DFA773D4FAC870AE00A5FE69674</t>
  </si>
  <si>
    <t>FDF361F72A7B4768B912095F0EC7027C</t>
  </si>
  <si>
    <t>production of baseplate module without frame, isolating DCDC converter, PEMFC-bat, Medium-Term</t>
  </si>
  <si>
    <t>8A8EA4F73F5E4A36A396B0165423C8FB</t>
  </si>
  <si>
    <t>production of DCB, with IGBT chips attached, isolating DCDC converter, PEMFC-bat, Medium-Term</t>
  </si>
  <si>
    <t>production of baseplate, to furnace, isolating DCDC converter, PEMFC-bat, Medium-Term</t>
  </si>
  <si>
    <t>4863BC4A38D344D989A8991A4C5CACE3</t>
  </si>
  <si>
    <t>production of baseplate, cleaned and baked, isolating DCDC converter, PEMFC-bat, Medium-Term</t>
  </si>
  <si>
    <t>BE417F0BD8634EFCA794B798521308B1</t>
  </si>
  <si>
    <t>production of baseplate, nickel plated, isolating DCDC converter, PEMFC-bat, Medium-Term</t>
  </si>
  <si>
    <t>3F74BD57466A497F98784973CC4C235A</t>
  </si>
  <si>
    <t>production of cleaned bus bars, contacts, plates and foils, isolating DCDC converter, PEMFC-bat, Medium-Term</t>
  </si>
  <si>
    <t>nickel in sulfanate is zero</t>
  </si>
  <si>
    <t>87DCD377A6B94D4BA24C0B3BFACD0FE4</t>
  </si>
  <si>
    <t>error in their units assuming the weight and area they give corresponds</t>
  </si>
  <si>
    <t>0284C79194E84B569BFF30BDF0A4AA03</t>
  </si>
  <si>
    <t>production of DCB substrate, to furnace, isolating DCDC converter, PEMFC-bat, Medium-Term</t>
  </si>
  <si>
    <t>production of diced IGBT chips, isolating DCDC converter, PEMFC-bat, Medium-Term</t>
  </si>
  <si>
    <t>13F2FC8D556047CE94158C43E2F981A3</t>
  </si>
  <si>
    <t>01AD1A2905E1450BB98FE97A64FE4DF8</t>
  </si>
  <si>
    <t>production of DCB substrate, cleaned and baked, isolating DCDC converter, PEMFC-bat, Medium-Term</t>
  </si>
  <si>
    <t>D043D02391924361BF80FF6E4DA8687C</t>
  </si>
  <si>
    <t>production of DCB, patterned, nickel plated, isolating DCDC converter, PEMFC-bat, Medium-Term</t>
  </si>
  <si>
    <t>7A252EC1628B4F6B846DEE3B61063E6C</t>
  </si>
  <si>
    <t>production of DCB, patterned, isolating DCDC converter, PEMFC-bat, Medium-Term</t>
  </si>
  <si>
    <t>03939BF994C9404B9221093FD67B3689</t>
  </si>
  <si>
    <t>production of DCB, before etching, isolating DCDC converter, PEMFC-bat, Medium-Term</t>
  </si>
  <si>
    <t>FD9DEC0C111742A896F8279E982775D0</t>
  </si>
  <si>
    <t>production of Alumina substrate, isolating DCDC converter, PEMFC-bat, Medium-Term</t>
  </si>
  <si>
    <t>E1DC8C38CBC046C1846D588A975D5410</t>
  </si>
  <si>
    <t>4B480054F2B14606A9A00E1647A9B34D</t>
  </si>
  <si>
    <t>production of  IGBT power module, complete,non-isolating unidirectional FC DCDC converter, PEMFC-bat, Medium-Term</t>
  </si>
  <si>
    <t>production of Galvanized terminals, screws and washers,non-isolating unidirectional FC DCDC converter, PEMFC-bat, Medium-Term</t>
  </si>
  <si>
    <t>production of plated cable glands,non-isolating unidirectional FC DCDC converter, PEMFC-bat, Medium-Term</t>
  </si>
  <si>
    <t>Bus bar, laminated,non-isolating unidirectional FC DCDC converter, PEMFC-bat, Medium-Term</t>
  </si>
  <si>
    <t>production of machined casing,non-isolating unidirectional FC DCDC converter, PEMFC-bat, Medium-Term</t>
  </si>
  <si>
    <t>16,67 kg</t>
  </si>
  <si>
    <t>008000DDCBCF46D29BCB619EAEB05710</t>
  </si>
  <si>
    <t>production of Galvanization layer,non-isolating unidirectional FC DCDC converter, PEMFC-bat, Medium-Term</t>
  </si>
  <si>
    <t>production of Cleaned terminals, screws and washers,non-isolating unidirectional FC DCDC converter, PEMFC-bat, Medium-Term</t>
  </si>
  <si>
    <t>382BE28869A04F3693DA686846CD3C45</t>
  </si>
  <si>
    <t>5B762CA1CC634EC4959F7962ED4EC331</t>
  </si>
  <si>
    <t>so 0,28 kg screws per 0.05 m2</t>
  </si>
  <si>
    <t>production of Steel terminals, screws and washers,non-isolating unidirectional FC DCDC converter, PEMFC-bat, Medium-Term</t>
  </si>
  <si>
    <t>production of nickel in plated layer,non-isolating unidirectional FC DCDC converter, PEMFC-bat, Medium-Term</t>
  </si>
  <si>
    <t>54A91A72C5D94D21AD8D1BAFE6D645E5</t>
  </si>
  <si>
    <t>86CD8F5F01AC4A8A847B2D0726ED39BF</t>
  </si>
  <si>
    <t>production of copper bus bars, contacts, plates and foils,non-isolating unidirectional FC DCDC converter, PEMFC-bat, Medium-Term</t>
  </si>
  <si>
    <t>BB25AC16052540AC9B420DE0BAEB4841</t>
  </si>
  <si>
    <t>FEC8567FD54B4066A1C2473BBB54A6F7</t>
  </si>
  <si>
    <t>5C76D1555B9842C9A1526EBCE865C1BC</t>
  </si>
  <si>
    <t>production of cleaned cable glands,non-isolating unidirectional FC DCDC converter, PEMFC-bat, Medium-Term</t>
  </si>
  <si>
    <t>807906BDD48D4283971FE4B1EA5D7720</t>
  </si>
  <si>
    <t>production of brass cable glands,non-isolating unidirectional FC DCDC converter, PEMFC-bat, Medium-Term</t>
  </si>
  <si>
    <t>E8F71F0347774EEAAF610D20E9A2C114</t>
  </si>
  <si>
    <t>F041864A50B94E9C92E3CD27F3DD3261</t>
  </si>
  <si>
    <t>production of machined casing, mass scaled activities,non-isolating unidirectional FC DCDC converter, PEMFC-bat, Medium-Term</t>
  </si>
  <si>
    <t>6B9C6BE4801B4B608F9E6BD70D52A3F9</t>
  </si>
  <si>
    <t>production of die cast casing parts,non-isolating unidirectional FC DCDC converter, PEMFC-bat, Medium-Term</t>
  </si>
  <si>
    <t>1ED76417DB58466A870165E3C0DDC888</t>
  </si>
  <si>
    <t>2418F179963E4ED18D9FA7B15D82CE0E</t>
  </si>
  <si>
    <t>production of Power module, open, potted,non-isolating unidirectional FC DCDC converter, PEMFC-bat, Medium-Term</t>
  </si>
  <si>
    <t>production of Lid, injection moulded,non-isolating unidirectional FC DCDC converter, PEMFC-bat, Medium-Term</t>
  </si>
  <si>
    <t>55418EB98B8B46809B78FFBE5712F7C6</t>
  </si>
  <si>
    <t>F4B013D814CE4DD0984E8DF09BF58DED</t>
  </si>
  <si>
    <t>production of potting gel layer,non-isolating unidirectional FC DCDC converter, PEMFC-bat, Medium-Term</t>
  </si>
  <si>
    <t>production of power module, open, wire bonded,non-isolating unidirectional FC DCDC converter, PEMFC-bat, Medium-Term</t>
  </si>
  <si>
    <t>9FCC7A892F9D47F790879F2E32F2E6DF</t>
  </si>
  <si>
    <t>D84B3D8638ED4BBEA4992FDBD0B3BA41</t>
  </si>
  <si>
    <t>production of Copper Wire,non-isolating unidirectional FC DCDC converter, PEMFC-bat, Medium-Term</t>
  </si>
  <si>
    <t>production of baseplate module with frame, cleaned,non-isolating unidirectional FC DCDC converter, PEMFC-bat, Medium-Term</t>
  </si>
  <si>
    <t>BF181D62378C484E8296D64773A9F1A4</t>
  </si>
  <si>
    <t>9E7D54361E66468A97CDB90C347CC56B</t>
  </si>
  <si>
    <t>production of baseplate module with frame,non-isolating unidirectional FC DCDC converter, PEMFC-bat, Medium-Term</t>
  </si>
  <si>
    <t>0A96FE66F9DB4328A1C11954CFB0B955</t>
  </si>
  <si>
    <t>production of baseplate module without frame, cleaned,non-isolating unidirectional FC DCDC converter, PEMFC-bat, Medium-Term</t>
  </si>
  <si>
    <t>assuming (from sheet reusable)</t>
  </si>
  <si>
    <t>Prodcution of frame with bonded terminals,non-isolating unidirectional FC DCDC converter, PEMFC-bat, Medium-Term</t>
  </si>
  <si>
    <t>2F95119BFCC542B4808C68AAD0CE9D48</t>
  </si>
  <si>
    <t>50ABD2AB12EB48699A357679C9D883EA</t>
  </si>
  <si>
    <t>production of baseplate module without frame,non-isolating unidirectional FC DCDC converter, PEMFC-bat, Medium-Term</t>
  </si>
  <si>
    <t>25515AE8D4DD483A9C4991ED031F4411</t>
  </si>
  <si>
    <t>production of DCB, with IGBT chips attached,non-isolating unidirectional FC DCDC converter, PEMFC-bat, Medium-Term</t>
  </si>
  <si>
    <t>production of baseplate, to furnace,non-isolating unidirectional FC DCDC converter, PEMFC-bat, Medium-Term</t>
  </si>
  <si>
    <t>8A3F1B33CB654664AE78E5F465A9C9E6</t>
  </si>
  <si>
    <t>production of baseplate, cleaned and baked,non-isolating unidirectional FC DCDC converter, PEMFC-bat, Medium-Term</t>
  </si>
  <si>
    <t>871E7B8A221740529072E38A7271AF71</t>
  </si>
  <si>
    <t>production of baseplate, nickel plated,non-isolating unidirectional FC DCDC converter, PEMFC-bat, Medium-Term</t>
  </si>
  <si>
    <t>CCE94BC05F024B1AA5AB1A3356E9CC6A</t>
  </si>
  <si>
    <t>production of cleaned bus bars, contacts, plates and foils,non-isolating unidirectional FC DCDC converter, PEMFC-bat, Medium-Term</t>
  </si>
  <si>
    <t>B0F14033BFB44BC4A4D67620414DB03D</t>
  </si>
  <si>
    <t>624847B09D5A41439FD12D9607267957</t>
  </si>
  <si>
    <t>production of DCB substrate, to furnace,non-isolating unidirectional FC DCDC converter, PEMFC-bat, Medium-Term</t>
  </si>
  <si>
    <t>production of diced IGBT chips,non-isolating unidirectional FC DCDC converter, PEMFC-bat, Medium-Term</t>
  </si>
  <si>
    <t>5C4E9B1E7A9248C8A320F82B34E74278</t>
  </si>
  <si>
    <t>cm²</t>
  </si>
  <si>
    <t>219D925A5D634E8B8BEA8C8640FF8FBF</t>
  </si>
  <si>
    <t>production of DCB substrate, cleaned and baked,non-isolating unidirectional FC DCDC converter, PEMFC-bat, Medium-Term</t>
  </si>
  <si>
    <t>9B1FFD710A7D431BB02E2B24A2D96E64</t>
  </si>
  <si>
    <t>production of DCB, patterned, nickel plated,non-isolating unidirectional FC DCDC converter, PEMFC-bat, Medium-Term</t>
  </si>
  <si>
    <t>964CA1C9DA0443139D068215E3AABF06</t>
  </si>
  <si>
    <t>production of DCB, patterned,non-isolating unidirectional FC DCDC converter, PEMFC-bat, Medium-Term</t>
  </si>
  <si>
    <t>F97C87DD9D9940C595506E06E03D62E0</t>
  </si>
  <si>
    <t>production of DCB, before etching,non-isolating unidirectional FC DCDC converter, PEMFC-bat, Medium-Term</t>
  </si>
  <si>
    <t>ADB4318F977848BE85320251B1F76830</t>
  </si>
  <si>
    <t>production of Alumina substrate,non-isolating unidirectional FC DCDC converter, PEMFC-bat, Medium-Term</t>
  </si>
  <si>
    <t>D03AAE3D40294C6AA241EE78D319A97A</t>
  </si>
  <si>
    <t>49DF867366E547C79FC64B758338F975</t>
  </si>
  <si>
    <t>production of  IGBT power module, complete, motor traction drive inverter DCAC, PEMFC-bat, Medium-Term</t>
  </si>
  <si>
    <t>production of Galvanized terminals, screws and washers, motor traction drive inverter DCAC, PEMFC-bat, Medium-Term</t>
  </si>
  <si>
    <t>production of plated cable glands, motor traction drive inverter DCAC, PEMFC-bat, Medium-Term</t>
  </si>
  <si>
    <t>Bus bar, laminated, motor traction drive inverter DCAC, PEMFC-bat, Medium-Term</t>
  </si>
  <si>
    <t>production of machined casing, motor traction drive inverter DCAC, PEMFC-bat, Medium-Term</t>
  </si>
  <si>
    <t>11,6kg</t>
  </si>
  <si>
    <t>242AFF96BB2F4CFFA437218F7F462ED1</t>
  </si>
  <si>
    <t>Assuming (see below) that</t>
  </si>
  <si>
    <t>production of Galvanization layer, motor traction drive inverter DCAC, PEMFC-bat, Medium-Term</t>
  </si>
  <si>
    <t>production of Cleaned terminals, screws and washers, motor traction drive inverter DCAC, PEMFC-bat, Medium-Term</t>
  </si>
  <si>
    <t>FA43DDC10F7E4B6FBB9EA9CB3B09385E</t>
  </si>
  <si>
    <t>6F11CCCB97E74DB384630A4F057215F3</t>
  </si>
  <si>
    <t>so 0,27 kg screws corresponds to 0,05m2</t>
  </si>
  <si>
    <t>production of Steel terminals, screws and washers, motor traction drive inverter DCAC, PEMFC-bat, Medium-Term</t>
  </si>
  <si>
    <t>assuming that the input is the same as output of nestled process</t>
  </si>
  <si>
    <t>production of nickel in plated layer, motor traction drive inverter DCAC, PEMFC-bat, Medium-Term</t>
  </si>
  <si>
    <t>62977D65F83142F29D9C958AC4CF994E</t>
  </si>
  <si>
    <t>9629B02ED78549F1B6F65194AEFF0B75</t>
  </si>
  <si>
    <t>production of copper bus bars, contacts, plates and foils, motor traction drive inverter DCAC, PEMFC-bat, Medium-Term</t>
  </si>
  <si>
    <t>4DE983EB3CB640C38F5D453E91DB0F76</t>
  </si>
  <si>
    <t>56C762915FD84FFC9D39A5D21699AC5D</t>
  </si>
  <si>
    <t>FBDA4C8930A4439DA93AF5FC4074D255</t>
  </si>
  <si>
    <t>production of cleaned cable glands, motor traction drive inverter DCAC, PEMFC-bat, Medium-Term</t>
  </si>
  <si>
    <t>FF4E211C774D4EE2A60FA3631A6E36D9</t>
  </si>
  <si>
    <t>production of brass cable glands, motor traction drive inverter DCAC, PEMFC-bat, Medium-Term</t>
  </si>
  <si>
    <t>87883D23A1884E8EADBE71B42B2D9EF5</t>
  </si>
  <si>
    <t>F4D9632D9EB94A978657EDF62E2C46B2</t>
  </si>
  <si>
    <t>production of machined casing, mass scaled activities, motor traction drive inverter DCAC, PEMFC-bat, Medium-Term</t>
  </si>
  <si>
    <t>03EFCA4E54E1473088D121CBED8E2542</t>
  </si>
  <si>
    <t>production of die cast casing parts, motor traction drive inverter DCAC, PEMFC-bat, Medium-Term</t>
  </si>
  <si>
    <t>DA68EA5B6DA040F894EE7453B41B6F19</t>
  </si>
  <si>
    <t>AC142081FAAA40708D53481EF730FEAA</t>
  </si>
  <si>
    <t>production of Power module, open, potted, motor traction drive inverter DCAC, PEMFC-bat, Medium-Term</t>
  </si>
  <si>
    <t>production of Lid, injection moulded, motor traction drive inverter DCAC, PEMFC-bat, Medium-Term</t>
  </si>
  <si>
    <t>33E876C3CDA6413CB31067CEFC8E2125</t>
  </si>
  <si>
    <t>4848ECB34C5B4BE9B468A0B1536749F6</t>
  </si>
  <si>
    <t>production of potting gel layer, motor traction drive inverter DCAC, PEMFC-bat, Medium-Term</t>
  </si>
  <si>
    <t>production of power module, open, wire bonded, motor traction drive inverter DCAC, PEMFC-bat, Medium-Term</t>
  </si>
  <si>
    <t>F7B8CEF9BAA64584BF51888BD9BD3011</t>
  </si>
  <si>
    <t>6DDA0352A9174D4DBD4B6A79BDB64428</t>
  </si>
  <si>
    <t>production of Copper Wire, motor traction drive inverter DCAC, PEMFC-bat, Medium-Term</t>
  </si>
  <si>
    <t>production of baseplate module with frame, cleaned, motor traction drive inverter DCAC, PEMFC-bat, Medium-Term</t>
  </si>
  <si>
    <t>32797AE4E1ED467AAFA2CBD2F5AB9FD5</t>
  </si>
  <si>
    <t>66A8AC9C66014BB38988FA4D1220CF42</t>
  </si>
  <si>
    <t>production of baseplate module with frame, motor traction drive inverter DCAC, PEMFC-bat, Medium-Term</t>
  </si>
  <si>
    <t>127F4BA041474828A1A32E6CE74457A4</t>
  </si>
  <si>
    <t>assuming (see sheet "reusable")</t>
  </si>
  <si>
    <t>production of baseplate module without frame, cleaned, motor traction drive inverter DCAC, PEMFC-bat, Medium-Term</t>
  </si>
  <si>
    <t>Prodcution of frame with bonded terminals, motor traction drive inverter DCAC, PEMFC-bat, Medium-Term</t>
  </si>
  <si>
    <t>E65C7C67C04A41AEB51B61DEE7EA39A7</t>
  </si>
  <si>
    <t>EF4E659CF99544808F85917DD3254377</t>
  </si>
  <si>
    <t>production of baseplate module without frame, motor traction drive inverter DCAC, PEMFC-bat, Medium-Term</t>
  </si>
  <si>
    <t>5E123806388F4CB9BEB817A86C0C8AF1</t>
  </si>
  <si>
    <t>production of DCB, with IGBT chips attached, motor traction drive inverter DCAC, PEMFC-bat, Medium-Term</t>
  </si>
  <si>
    <t>production of baseplate, to furnace, motor traction drive inverter DCAC, PEMFC-bat, Medium-Term</t>
  </si>
  <si>
    <t>42A4EC9E3BB64473942AD3229873DD57</t>
  </si>
  <si>
    <t>production of baseplate, cleaned and baked, motor traction drive inverter DCAC, PEMFC-bat, Medium-Term</t>
  </si>
  <si>
    <t>D4AA4736C1EE46C1BF9857BC9E05A815</t>
  </si>
  <si>
    <t>production of baseplate, nickel plated, motor traction drive inverter DCAC, PEMFC-bat, Medium-Term</t>
  </si>
  <si>
    <t>03E3E48E7BE740DA849EF6B133938677</t>
  </si>
  <si>
    <t>production of cleaned bus bars, contacts, plates and foils, motor traction drive inverter DCAC, PEMFC-bat, Medium-Term</t>
  </si>
  <si>
    <t>EB6E0795D1BF43AD8B3DAAEB2C78DE66</t>
  </si>
  <si>
    <t>E27B34C45DA84DF88CE5E4AD472348A8</t>
  </si>
  <si>
    <t>production of DCB substrate, to furnace, motor traction drive inverter DCAC, PEMFC-bat, Medium-Term</t>
  </si>
  <si>
    <t>production of diced IGBT chips, motor traction drive inverter DCAC, PEMFC-bat, Medium-Term</t>
  </si>
  <si>
    <t>BBFCFBC24AD641838C91004E49D34079</t>
  </si>
  <si>
    <t>F9BEFC381F684939AC52DF3C88510426</t>
  </si>
  <si>
    <t>production of DCB substrate, cleaned and baked, motor traction drive inverter DCAC, PEMFC-bat, Medium-Term</t>
  </si>
  <si>
    <t>D9E07A68ECF24FFBBC3044A9C2BA2127</t>
  </si>
  <si>
    <t>production of DCB, patterned, nickel plated, motor traction drive inverter DCAC, PEMFC-bat, Medium-Term</t>
  </si>
  <si>
    <t>87370747751F4E8F9ED41A6F7D4B7447</t>
  </si>
  <si>
    <t>production of DCB, patterned, motor traction drive inverter DCAC, PEMFC-bat, Medium-Term</t>
  </si>
  <si>
    <t>8983575951C64F67BA9532E4039E2794</t>
  </si>
  <si>
    <t>production of DCB, before etching, motor traction drive inverter DCAC, PEMFC-bat, Medium-Term</t>
  </si>
  <si>
    <t>C9331AA9C51F4CC4B6220737A96F7B9D</t>
  </si>
  <si>
    <t>production of Alumina substrate, motor traction drive inverter DCAC, PEMFC-bat, Medium-Term</t>
  </si>
  <si>
    <t>35986BF4ED9E4F58B6E81CA6A88B0827</t>
  </si>
  <si>
    <t>F65B15699D8E4EDE9D366FD0BB6EB004</t>
  </si>
  <si>
    <t>production of  IGBT power module, complete, bidirectional battery DCDC converter, PEMFC-bat, Medium-Term</t>
  </si>
  <si>
    <t>production of Galvanized terminals, screws and washers, bidirectional battery DCDC converter, PEMFC-bat, Medium-Term</t>
  </si>
  <si>
    <t>production of plated cable glands, bidirectional battery DCDC converter, PEMFC-bat, Medium-Term</t>
  </si>
  <si>
    <t>Bus bar, laminated, bidirectional battery DCDC converter, PEMFC-bat, Medium-Term</t>
  </si>
  <si>
    <t>production of machined casing, bidirectional battery DCDC converter, PEMFC-bat, Medium-Term</t>
  </si>
  <si>
    <t>wieght check</t>
  </si>
  <si>
    <t>25,3kg</t>
  </si>
  <si>
    <t>F446744CC0364E1C9CD109881D38589C</t>
  </si>
  <si>
    <t>production of Galvanization layer, bidirectional battery DCDC converter, PEMFC-bat, Medium-Term</t>
  </si>
  <si>
    <t>production of Cleaned terminals, screws and washers, bidirectional battery DCDC converter, PEMFC-bat, Medium-Term</t>
  </si>
  <si>
    <t>5711345ABEDA435EAD92A3DF6DEFF41C</t>
  </si>
  <si>
    <t>E3F5D2B59DCD46F9A6AA31D003F4337F</t>
  </si>
  <si>
    <t>so 0,05 m2 = 0,31 kg</t>
  </si>
  <si>
    <t>so 0,16 kg screws corresponds to 0,25 m2</t>
  </si>
  <si>
    <t>production of Steel terminals, screws and washers, bidirectional battery DCDC converter, PEMFC-bat, Medium-Term</t>
  </si>
  <si>
    <t>production of nickel in plated layer, bidirectional battery DCDC converter, PEMFC-bat, Medium-Term</t>
  </si>
  <si>
    <t>1F03F222697947DDA868451CEDA3F272</t>
  </si>
  <si>
    <t>0648518EC8FC471BA9D4888753FC6751</t>
  </si>
  <si>
    <t>production of copper bus bars, contacts, plates and foils, bidirectional battery DCDC converter, PEMFC-bat, Medium-Term</t>
  </si>
  <si>
    <t>F7534419ED4447F5B9064AB34F1BBA1F</t>
  </si>
  <si>
    <t>36595E2F1B7149D1BC1EDC8C54EE972B</t>
  </si>
  <si>
    <t>A3DC80B6B83246E681B1DB2909E3B534</t>
  </si>
  <si>
    <t>assuming that the area is equivbalent to teh weight in mother process</t>
  </si>
  <si>
    <t>production of cleaned cable glands, bidirectional battery DCDC converter, PEMFC-bat, Medium-Term</t>
  </si>
  <si>
    <t>37FBC0179B52458EB0AF83A3E92693FE</t>
  </si>
  <si>
    <t>production of brass cable glands, bidirectional battery DCDC converter, PEMFC-bat, Medium-Term</t>
  </si>
  <si>
    <t>CE7A07DF734B480EB79979B2EEDBF526</t>
  </si>
  <si>
    <t>assuming that the weight of 3,13kg is equivalent to area in mother process</t>
  </si>
  <si>
    <t>6CFB6ADDF3C04885857772CB00E990F8</t>
  </si>
  <si>
    <t>production of machined casing, mass scaled activities, bidirectional battery DCDC converter, PEMFC-bat, Medium-Term</t>
  </si>
  <si>
    <t>C4DA5C189F0F44C1B195C0A772924181</t>
  </si>
  <si>
    <t>production of die cast casing parts, bidirectional battery DCDC converter, PEMFC-bat, Medium-Term</t>
  </si>
  <si>
    <t>7FF2883B3B404AC7BA67701E8EB929A1</t>
  </si>
  <si>
    <t>29B84631C41C4D3ABE314542DCD7C076</t>
  </si>
  <si>
    <t>ASSUMING THAT 1 unit is equivalent to the weight in mother processs</t>
  </si>
  <si>
    <t>production of Power module, open, potted, bidirectional battery DCDC converter, PEMFC-bat, Medium-Term</t>
  </si>
  <si>
    <t>production of Lid, injection moulded, bidirectional battery DCDC converter, PEMFC-bat, Medium-Term</t>
  </si>
  <si>
    <t>D7CEF3AB672A46CEB721D4D8ACDC6E06</t>
  </si>
  <si>
    <t>64C8E8ACAFF740B8BC6AB8D2D98A1E7C</t>
  </si>
  <si>
    <t>production of potting gel layer, bidirectional battery DCDC converter, PEMFC-bat, Medium-Term</t>
  </si>
  <si>
    <t>production of power module, open, wire bonded, bidirectional battery DCDC converter, PEMFC-bat, Medium-Term</t>
  </si>
  <si>
    <t>46E09A5DB0F84798A62DA56C073C6C02</t>
  </si>
  <si>
    <t>EEB118B6405E4356AB929C4537A12B3C</t>
  </si>
  <si>
    <t>production of Copper Wire, bidirectional battery DCDC converter, PEMFC-bat, Medium-Term</t>
  </si>
  <si>
    <t>production of baseplate module with frame, cleaned, bidirectional battery DCDC converter, PEMFC-bat, Medium-Term</t>
  </si>
  <si>
    <t>BF194D3F65F444DD9CEAEF43354416FF</t>
  </si>
  <si>
    <t>2A24A1D0B43C463CA38E6794DAB6541C</t>
  </si>
  <si>
    <t>production of baseplate module with frame, bidirectional battery DCDC converter, PEMFC-bat, Medium-Term</t>
  </si>
  <si>
    <t>58316A8DEE134FD4B8908A579845FAB8</t>
  </si>
  <si>
    <t>production of baseplate module without frame, cleaned, bidirectional battery DCDC converter, PEMFC-bat, Medium-Term</t>
  </si>
  <si>
    <t>Prodcution of frame with bonded terminals, bidirectional battery DCDC converter, PEMFC-bat, Medium-Term</t>
  </si>
  <si>
    <t>065924E96C9B4769919E13726FAE9C32</t>
  </si>
  <si>
    <t>FB76FA9910674BEDAC472F1081272CBC</t>
  </si>
  <si>
    <t>production of baseplate module without frame, bidirectional battery DCDC converter, PEMFC-bat, Medium-Term</t>
  </si>
  <si>
    <t>642922B9235D4A688773CAFB4EDD9574</t>
  </si>
  <si>
    <t>production of DCB, with IGBT chips attached, bidirectional battery DCDC converter, PEMFC-bat, Medium-Term</t>
  </si>
  <si>
    <t>production of baseplate, to furnace, bidirectional battery DCDC converter, PEMFC-bat, Medium-Term</t>
  </si>
  <si>
    <t>0E4C50767B374296B8D7AD234EDEFAB9</t>
  </si>
  <si>
    <t>production of baseplate, cleaned and baked, bidirectional battery DCDC converter, PEMFC-bat, Medium-Term</t>
  </si>
  <si>
    <t>A026400AC47F4EC0BD16E9D31A78A2AF</t>
  </si>
  <si>
    <t>production of baseplate, nickel plated, bidirectional battery DCDC converter, PEMFC-bat, Medium-Term</t>
  </si>
  <si>
    <t>D7D58C7ABDF64BE8A7E103E2E78CBF4D</t>
  </si>
  <si>
    <t>production of cleaned bus bars, contacts, plates and foils, bidirectional battery DCDC converter, PEMFC-bat, Medium-Term</t>
  </si>
  <si>
    <t>AE715CC0FBB0447DBE73AADA3EC324DA</t>
  </si>
  <si>
    <t>88B4B392CCA4444F958B7723CE2678CE</t>
  </si>
  <si>
    <t>production of DCB substrate, to furnace, bidirectional battery DCDC converter, PEMFC-bat, Medium-Term</t>
  </si>
  <si>
    <t>production of diced IGBT chips, bidirectional battery DCDC converter, PEMFC-bat, Medium-Term</t>
  </si>
  <si>
    <t>D6A5C5784ADD4D29B6AD8AA4D005CF82</t>
  </si>
  <si>
    <t>7767BA4666844F5283B3EF0CDC8C3232</t>
  </si>
  <si>
    <t>production of DCB substrate, cleaned and baked, bidirectional battery DCDC converter, PEMFC-bat, Medium-Term</t>
  </si>
  <si>
    <t>AB24405727C1405EB0B60FEBDF69D8F8</t>
  </si>
  <si>
    <t>production of DCB, patterned, nickel plated, bidirectional battery DCDC converter, PEMFC-bat, Medium-Term</t>
  </si>
  <si>
    <t>F5156E6D073147D085F96CC6460A9D1D</t>
  </si>
  <si>
    <t>production of DCB, patterned, bidirectional battery DCDC converter, PEMFC-bat, Medium-Term</t>
  </si>
  <si>
    <t>2166FD886453410FB07D8E2A1DE3B93A</t>
  </si>
  <si>
    <t>production of DCB, before etching, bidirectional battery DCDC converter, PEMFC-bat, Medium-Term</t>
  </si>
  <si>
    <t>5AD629A0F1E94216B7C8D038971CA223</t>
  </si>
  <si>
    <t>production of Alumina substrate, bidirectional battery DCDC converter, PEMFC-bat, Medium-Term</t>
  </si>
  <si>
    <t>82EE442D5FEF4945AEC49AA0CF40E7AE</t>
  </si>
  <si>
    <t>treatment of circuit components, EoL power electronics, PEMFC-bat, Medium-Term</t>
  </si>
  <si>
    <t>power electronics EoL, PEMFC-bat, Medium-Term</t>
  </si>
  <si>
    <t>BCB65F5A33D74738846C68C677DA0E24</t>
  </si>
  <si>
    <t>EoL for all connectors, transformers, capacitors, circuits, inductors, diodes, transistors and resistors</t>
  </si>
  <si>
    <t>EoL power electronics, PEMFC-bat, Medium-Term</t>
  </si>
  <si>
    <t>sum of all connectors, transformers, capacitors, circuits, inductors, diodes, transistors and resistors in 2040 (see skipped power elec EoL calculation sheet)</t>
  </si>
  <si>
    <t>no crediting only treatment</t>
  </si>
  <si>
    <t>treatment of metals, EoL power electronics, PEMFC-bat, Medium-Term</t>
  </si>
  <si>
    <t>4FF6EBC5CC6A40DDBA74CADF838791ED</t>
  </si>
  <si>
    <t>all metal components</t>
  </si>
  <si>
    <t>assumption: only aluminium and copper will be recovered (highest % in terms of weight) other metals and metal coatings are assumed to be pyrolised residual materials</t>
  </si>
  <si>
    <t>crediting assuming 90% is recovered</t>
  </si>
  <si>
    <t>market for copper-rich materials</t>
  </si>
  <si>
    <t>the remaining 10% remaining from both alu and copper that went to slag + 14,2449 of additional components/coatings from other metals</t>
  </si>
  <si>
    <t>treatment of plastics, EoL power electronics, PEMFC-bat, Medium-Term</t>
  </si>
  <si>
    <t>4941D2BB68D140DDBC315894751A213C</t>
  </si>
  <si>
    <t>all plastic components (incineration with heat recovery)</t>
  </si>
  <si>
    <t xml:space="preserve">assumption for Polypropylene, Polyethylene therephtalate (PET),Polyurethane resin, Polyphenylene sulfide (PPS), Polypropylene </t>
  </si>
  <si>
    <t>LHV of mixture (ecoinvent) = 34,78 MJ/kg</t>
  </si>
  <si>
    <t>electricity recovery from plastic , We assume 50% of heat recovery, LHV = 34,78 MJ/kg converted to kWh</t>
  </si>
  <si>
    <t>heat recovery from plastic packaging, We assume 50% of electricity recovery LHV = 34,78 MJ/kg</t>
  </si>
  <si>
    <t>treatment of remaining material components, EoL power electronics, PEMFC-bat, Medium-Term</t>
  </si>
  <si>
    <t>D9343653C15D4EF191725A707783301F</t>
  </si>
  <si>
    <t xml:space="preserve">all other materials: Silicon, Glass fiber, paint, Epoxy resin, nylon </t>
  </si>
  <si>
    <t>no el, or heat  recovery</t>
  </si>
  <si>
    <t>treatment of power electronics, EoL power electronics, PEMFC-bat, Medium-Term</t>
  </si>
  <si>
    <t>EA69A8D49979481E9CE7CB996A868432</t>
  </si>
  <si>
    <t>main process</t>
  </si>
  <si>
    <t>treatment of scrap printed wiring boards, shredding and separation</t>
  </si>
  <si>
    <t>assumed proxy for dismantling - weight corresponds to total weight of all power electronics</t>
  </si>
  <si>
    <t>treatment of steel, motors and drives, PEMFC-bat, Medium-Term</t>
  </si>
  <si>
    <t>motors and drives EoL, PEMFC-bat, Medium-Term</t>
  </si>
  <si>
    <t>914F5D6740BD465B9D6FCD805C83E0B4</t>
  </si>
  <si>
    <t>process used for both motor and generator</t>
  </si>
  <si>
    <t>motors and drives, PEMFC-bat, Medium-Term</t>
  </si>
  <si>
    <t>recycled steel - 80%</t>
  </si>
  <si>
    <t>assumption from EoL provided in Engine/pamela project</t>
  </si>
  <si>
    <t>remaining 20% slag to landfill</t>
  </si>
  <si>
    <t>treatment of aluminium, motors and drives, PEMFC-bat, Medium-Term</t>
  </si>
  <si>
    <t>4D5BB20C16564DC4A25A5027CA73E6E4</t>
  </si>
  <si>
    <t>assuming same EoL percentages as specified for engine for steel in pamela project</t>
  </si>
  <si>
    <t>treatment of copper, motors and drives, PEMFC-bat, Medium-Term</t>
  </si>
  <si>
    <t>E40B227EC7874EF39958B8AE4E0B5301</t>
  </si>
  <si>
    <t>treatment of permanent magnet, motors and drives, PEMFC-bat, Medium-Term</t>
  </si>
  <si>
    <t>5BFCEB6E0E3D450D8BDE8ADB70A52681</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</si>
  <si>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</si>
  <si>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</si>
  <si>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</si>
  <si>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</si>
  <si>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0,65 from articlearound 65% is eventually reused for magnets</t>
  </si>
  <si>
    <t>market for nickel smelter slag</t>
  </si>
  <si>
    <t>rest: from article rest is sent to slag</t>
  </si>
  <si>
    <t>treatment of motor, motors and drives, PEMFC-bat, Medium-Term</t>
  </si>
  <si>
    <t>8384DA0737A54424996E1731F2755AFC</t>
  </si>
  <si>
    <t>motors EoL</t>
  </si>
  <si>
    <t>treatment of motors and drives, PEMFC-bat, Medium-Term</t>
  </si>
  <si>
    <t>4A0083A778AE4414AC6D058EA51FCD2A</t>
  </si>
  <si>
    <t>EoL for motors and drives</t>
  </si>
  <si>
    <t>treatment of titanium,powerplant, PEMFC-bat, Medium-Term</t>
  </si>
  <si>
    <t>powerplant EoL, PEMFC-bat, Medium-Term</t>
  </si>
  <si>
    <t>955F06F118F04B2A871A14EDFD42AF2E</t>
  </si>
  <si>
    <t>from pamela: 50% recycled and 50% landfilled</t>
  </si>
  <si>
    <t>assumed proxy LHV: 114MJ/kg, Rupcic et al. https://doi.org/10.1016/j.cirp.2022.04.047 , 50% goes to be melted and recycled</t>
  </si>
  <si>
    <t>60% el</t>
  </si>
  <si>
    <t>40% natural gas</t>
  </si>
  <si>
    <t>market for titanium</t>
  </si>
  <si>
    <t>remaining 50% slag to landfill</t>
  </si>
  <si>
    <t>treatment of CFRP,powerplant, PEMFC-bat, Medium-Term</t>
  </si>
  <si>
    <t>50C086B2E5E4406E92CFA9EAEECAD9A5</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</si>
  <si>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</si>
  <si>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</si>
  <si>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</si>
  <si>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</si>
  <si>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</si>
  <si>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PEMFC-bat, Medium-Term</t>
  </si>
  <si>
    <t>6849CE6C668C4A9B9B26B73CFEB9B12E</t>
  </si>
  <si>
    <t>from pamela: (using aluminium in "all materials") 85% recycled and 15% landfilled</t>
  </si>
  <si>
    <t>includes remelting</t>
  </si>
  <si>
    <t>treatment of iron-nickel chromium alloy,powerplant, PEMFC-bat, Medium-Term</t>
  </si>
  <si>
    <t>9FDEE60FF4A341209BB200BDB4F3DE49</t>
  </si>
  <si>
    <t>market for iron-nickel-chromium alloy</t>
  </si>
  <si>
    <t>treatment of nickel,powerplant, PEMFC-bat, Medium-Term</t>
  </si>
  <si>
    <t>CDDDFB052B89408CB882B12DC15016CE</t>
  </si>
  <si>
    <t>treatment of copper,powerplant, PEMFC-bat, Medium-Term</t>
  </si>
  <si>
    <t>2EB557CB02A84675834D2AC832500B61</t>
  </si>
  <si>
    <t>treatment of magnesium alloy powerplant, PEMFC-bat, Medium-Term</t>
  </si>
  <si>
    <t>A756029D57624229B3213BE41A550BF8</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</si>
  <si>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</si>
  <si>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</si>
  <si>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</si>
  <si>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</si>
  <si>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PEMFC-bat, Medium-Term</t>
  </si>
  <si>
    <t>B9F55E0017C142B4B079B01C643C732B</t>
  </si>
  <si>
    <t>no el or heat recovery</t>
  </si>
  <si>
    <t>treatment of powerplant, PEMFC-bat, Medium-Term</t>
  </si>
  <si>
    <t>C06B0264FD75415E9A24CF7192A4F54F</t>
  </si>
  <si>
    <t>treatment of aluminium, wing, airframe, PEMFC-bat, Medium-Term</t>
  </si>
  <si>
    <t>C081CB77AB6E4C6FB05073524EAED535</t>
  </si>
  <si>
    <t>airframe EoL, same for all configs</t>
  </si>
  <si>
    <t>airframe EoL, PEMFC-bat, Medium-Term</t>
  </si>
  <si>
    <t>assuming % for wing aluminium -project Pamela</t>
  </si>
  <si>
    <t>assuming 90% of that is recovered</t>
  </si>
  <si>
    <t>treatment of CFRP, wing, airframe, PEMFC-bat, Medium-Term</t>
  </si>
  <si>
    <t>99C7D40E1D6147D0A91388817FB880F9</t>
  </si>
  <si>
    <t>assuming % for wing composites -project Pamela</t>
  </si>
  <si>
    <t>heat recovery from plastic , We assume 50% of electricity recovery from incinertion LHV = 34,78 MJ/kg</t>
  </si>
  <si>
    <t>treatment of steel, wing, airframe, PEMFC-bat, Medium-Term</t>
  </si>
  <si>
    <t>803C3B6BB29249EE93161B5F1DF0EE88</t>
  </si>
  <si>
    <t>assuming % for wing steel -project Pamela</t>
  </si>
  <si>
    <t>rest to slag landfill</t>
  </si>
  <si>
    <t>treatment of titanium, wing, airframe, PEMFC-bat, Medium-Term</t>
  </si>
  <si>
    <t>7BCED97144C7448C8E88572DA5989151</t>
  </si>
  <si>
    <t>required el from rupcic et al.</t>
  </si>
  <si>
    <t>required heat from Rupcic et al.</t>
  </si>
  <si>
    <t>treatment of aluminium, tail, airframe, PEMFC-bat, Medium-Term</t>
  </si>
  <si>
    <t>81D2723AC8D4417986A4B6DDA4E6EE3E</t>
  </si>
  <si>
    <t>assuming % for tail aluminium -project Pamela</t>
  </si>
  <si>
    <t>treatment of composites, tail, airframe, PEMFC-bat, Medium-Term</t>
  </si>
  <si>
    <t>3435BB2C01764F95ACBD774B658D323B</t>
  </si>
  <si>
    <t>airframe EoL, works for CFRP and GFRP, same for all configs</t>
  </si>
  <si>
    <t>assuming % for stabilising part composites -project Pamela</t>
  </si>
  <si>
    <t>treatment of aluminium, fuselage, airframe, PEMFC-bat, Medium-Term</t>
  </si>
  <si>
    <t>C73F8A172CE44EE7AF11CAC68DBD80B3</t>
  </si>
  <si>
    <t>assuming % for fuselage aluminium -project Pamela</t>
  </si>
  <si>
    <t>treatment of composites, fuselage, airframe, PEMFC-bat, Medium-Term</t>
  </si>
  <si>
    <t>D80ADFA54A1E40348F5221200C1B54B3</t>
  </si>
  <si>
    <t>assuming % for fuesalage composites -project Pamela</t>
  </si>
  <si>
    <t>treatment of steel, fuselage, airframe, PEMFC-bat, Medium-Term</t>
  </si>
  <si>
    <t>56E276C40FD649F6B56FC27BC22560BE</t>
  </si>
  <si>
    <t>assuming % for fuselage steel -project Pamela</t>
  </si>
  <si>
    <t>treatment of titanium, fuselage, airframe, PEMFC-bat, Medium-Term</t>
  </si>
  <si>
    <t>E47495D8E6E94CF783E3AE428E841759</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</si>
  <si>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</si>
  <si>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</si>
  <si>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</si>
  <si>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</si>
  <si>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</si>
  <si>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PEMFC-bat, Medium-Term</t>
  </si>
  <si>
    <t>8F86271B9E434F46A2F53AE8716690DE</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</si>
  <si>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</si>
  <si>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</si>
  <si>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</si>
  <si>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</si>
  <si>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</si>
  <si>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</si>
  <si>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</si>
  <si>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</si>
  <si>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</si>
  <si>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PEMFC-bat, Medium-Term</t>
  </si>
  <si>
    <t>67342E2B9BEC4054A4E814F51C41CA99</t>
  </si>
  <si>
    <t>airframe EoL, changes for different config</t>
  </si>
  <si>
    <t>treatment tail , airframe, PEMFC-bat, Medium-Term</t>
  </si>
  <si>
    <t>5EB9D3C513C04377BA7426A5EC271842</t>
  </si>
  <si>
    <t>CFRP</t>
  </si>
  <si>
    <t>GFRP</t>
  </si>
  <si>
    <t>treatment fuselage , airframe, PEMFC-bat, Medium-Term</t>
  </si>
  <si>
    <t>E17068A5D97646338CC06E5018608FFB</t>
  </si>
  <si>
    <t>treatment systems, airframe, PEMFC-bat, Medium-Term</t>
  </si>
  <si>
    <t>CEBB4D025B8541DD988C0FCCF7E996B6</t>
  </si>
  <si>
    <t>assuming same percentages as for fuselage</t>
  </si>
  <si>
    <t>assuming same tratment for copper as in powerplant</t>
  </si>
  <si>
    <t>treatment of airframe , PEMFC-bat, Medium-Term</t>
  </si>
  <si>
    <t>30D84B8936DF46C78CD49C424D02A8B2</t>
  </si>
  <si>
    <t xml:space="preserve">  </t>
  </si>
  <si>
    <t>treatment of steel, H2_storage EoL, PEMFC-bat, Medium-Term</t>
  </si>
  <si>
    <t>07BFB478E37C450F9639156D8E56EA7E</t>
  </si>
  <si>
    <t>treatment of CFRP, H2 storage EoL,PEMFC-bat, Medium-Term</t>
  </si>
  <si>
    <t>596191268D1C4888A8EE0779BA5B8A66</t>
  </si>
  <si>
    <t>treatment of H2 storage on-board</t>
  </si>
  <si>
    <t>74422A464037498CB7396E19E8149231</t>
  </si>
  <si>
    <t>ferrochromium</t>
  </si>
  <si>
    <t>kraft paper</t>
  </si>
  <si>
    <t>treatment of aluminium,PEMFC EoL, PEMFC-bat, Medium-Term</t>
  </si>
  <si>
    <t>3B7198C3016E459AAE7177BA9D566C18</t>
  </si>
  <si>
    <t>PEMFC EoL</t>
  </si>
  <si>
    <t>PEMFC EoL, PEMFC-bat, Medium-Term</t>
  </si>
  <si>
    <t>assuming % for fuselage alu -project Pamela</t>
  </si>
  <si>
    <t>treatment of copper,PEMFC EoL, PEMFC-bat, Medium-Term</t>
  </si>
  <si>
    <t>48AA4EF0A5AF4C9DA89E29C57EC39D90</t>
  </si>
  <si>
    <t>assuming same % as for fuselage alu (no copper indicated) -project Pamela</t>
  </si>
  <si>
    <t>treatment of steel,PEMFC EoL, PEMFC-bat, Medium-Term</t>
  </si>
  <si>
    <t>3A19B8ED3C794F14A596324F7EC6A05F</t>
  </si>
  <si>
    <t>treatment of composites,PEMFC EoL, PEMFC-bat, Medium-Term</t>
  </si>
  <si>
    <t>372C404DF3714BC5BB5747CA070D01A4</t>
  </si>
  <si>
    <t>PEMFC EoL, for plastics, rubber, nylon and silicone</t>
  </si>
  <si>
    <t>treatment of hazardous waste, hazardous waste incineration</t>
  </si>
  <si>
    <t>treatment of graphite and resin,PEMFC EoL, PEMFC-bat, Medium-Term</t>
  </si>
  <si>
    <t>2384794BCE344F4B97472BA116671511</t>
  </si>
  <si>
    <t>conservative choice: no recycling</t>
  </si>
  <si>
    <t>market for hazardous waste, for underground deposit</t>
  </si>
  <si>
    <t>treatment of electronics ,PEMFC EoL, PEMFC-bat, Medium-Term</t>
  </si>
  <si>
    <t>B60E63B6212E46F7A7E4E54E30132E94</t>
  </si>
  <si>
    <t>treatment of PEMFC cell ,PEMFC EoL, PEMFC-bat, Medium-Term</t>
  </si>
  <si>
    <t>D484BF4A35A2419FB4C0201798192BDD</t>
  </si>
  <si>
    <t>aluminium</t>
  </si>
  <si>
    <t>cable</t>
  </si>
  <si>
    <t>cationic resin</t>
  </si>
  <si>
    <t>copper</t>
  </si>
  <si>
    <t>electronics</t>
  </si>
  <si>
    <t>graphite</t>
  </si>
  <si>
    <t>nylon 6-6</t>
  </si>
  <si>
    <t>polyethylene terephthalate, granulate, bottle grade</t>
  </si>
  <si>
    <t>polypropylene, granulate</t>
  </si>
  <si>
    <t>polyurethane, rigid foam</t>
  </si>
  <si>
    <t>silicone</t>
  </si>
  <si>
    <t>synthetic rubber</t>
  </si>
  <si>
    <t>Aircraft</t>
  </si>
  <si>
    <t>7754647F37D14FE1BFC7948D227502D5</t>
  </si>
  <si>
    <t>Table 0 of GENESIS_LCI_airframe_medium-term_PEMFC-bat_v01.xlsx. 1 unit corresponds to 7312.3 kg of airframe structure</t>
  </si>
  <si>
    <t>production of wings and control surfaces for airframe, PEMFC-bat</t>
  </si>
  <si>
    <t>production of horizontal Tail for airframe, PEMFC-bat</t>
  </si>
  <si>
    <t>production of vertical Tail for airframe, PEMFC-bat</t>
  </si>
  <si>
    <t>production of fuselage for airframe, PEMFC-bat</t>
  </si>
  <si>
    <t>production of main undercarriage for airframe, PEMFC-bat</t>
  </si>
  <si>
    <t>production of nose undercarriage for airframe, PEMFC-bat</t>
  </si>
  <si>
    <t>market for diesel</t>
  </si>
  <si>
    <t>757FE4CA57214692BF66D9E233FB0352</t>
  </si>
  <si>
    <t>Table 1 of GENESIS_LCI_airframe_medium-term_PEMFC-bat_v01.xlsx. 1 unit corresponds to 2253 kg of airframe structure</t>
  </si>
  <si>
    <t>6B6DF32EB55D49238D50AAD6C4AC8BDD</t>
  </si>
  <si>
    <t>Table 2 of GENESIS_LCI_airframe_medium-term_PEMFC-bat_v01.xlsx. 1 unit corresponds to 241.3 kg of the horizontal tail</t>
  </si>
  <si>
    <t>market for glass fibre reinforced plastic, polyamide, injection moulded</t>
  </si>
  <si>
    <t>3A80C07AF6C5473088039AAF61C948F4</t>
  </si>
  <si>
    <t>Table 3 of GENESIS_LCI_airframe_medium-term_PEMFC-bat_v01.xlsx. 1 unit corresponds to 370.3 kg of the vertical tail</t>
  </si>
  <si>
    <t>ED3007A1D51B45278F2AEAD3BF942720</t>
  </si>
  <si>
    <t>Table 4 of GENESIS_LCI_airframe_medium-term_PEMFC-bat_v01.xlsx. 1 unit corresponds to 3183.6 kg of the fuselage. Amount of misc material distributed evenly on the remaining materials</t>
  </si>
  <si>
    <t>35736FC7F12B419EB1B0DEBA9BBFF1CD</t>
  </si>
  <si>
    <t>Table 5 of GENESIS_LCI_airframe_medium-term_PEMFC-bat_v01.xlsx. 1 unit corresponds to 1042.2 kg of the main undercarriage.</t>
  </si>
  <si>
    <t>9EA592E309894BC7A1CC12F214C973C7</t>
  </si>
  <si>
    <t>Table 6 of GENESIS_LCI_airframe_medium-term_PEMFC-bat_v01.xlsx. 1 unit corresponds to 221.5 kg of the nose undercarriage.</t>
  </si>
  <si>
    <t>F15B520F7A87441AAC540D9CCBA6F59E</t>
  </si>
  <si>
    <t>Table 7 of GENESIS_LCI_airframe_medium-term_PEMFC-bat_v01.xlsx. 1 unit corresponds to 3080.1 kg of systems</t>
  </si>
  <si>
    <t>production of air conditioning system for systems, PEMFC-bat</t>
  </si>
  <si>
    <t>production of electrical systems for systems, PEMFC-bat</t>
  </si>
  <si>
    <t>production of pneumatic/hydraulic systems for systems, PEMFC-bat</t>
  </si>
  <si>
    <t>production of instruments for systems, PEMFC-bat</t>
  </si>
  <si>
    <t>production of APU for systems, PEMFC-bat</t>
  </si>
  <si>
    <t>Systems</t>
  </si>
  <si>
    <t>F250EF2D0725415CAB4A2B5A2550CE5A</t>
  </si>
  <si>
    <t>Table 10 of GENESIS_LCI_airframe_medium-term_PEMFC-bat_v01.xlsx. 1 unit corresponds to 765.9 kg of the AC system.</t>
  </si>
  <si>
    <t>86B7D2AF21DE43A4B9B7088D7EF1D6CB</t>
  </si>
  <si>
    <t>Table 7 of GENESIS_LCI_airframe_medium-term_PEMFC-bat_v01.xlsx. 1 unit corresponds to 1024.2 kg of the electrical systems.</t>
  </si>
  <si>
    <t>D87F785724E042868AB749C1778D1A35</t>
  </si>
  <si>
    <t>Table 11 of GENESIS_LCI_airframe_medium-term_PEMFC-bat_v01.xlsx. 1 unit corresponds to 595.9 kg of the pneumatic/hydraulic systems.</t>
  </si>
  <si>
    <t>production of valves for pneumatic/hydraulic systems, PEMFC-bat</t>
  </si>
  <si>
    <t>production of filters for pneumatic/hydraulic systems, PEMFC-bat</t>
  </si>
  <si>
    <t>production of pumps for pneumatic/hydraulic systems, PEMFC-bat</t>
  </si>
  <si>
    <t>production of lines/pipes for pneumatic/hydraulic systems, PEMFC-bat</t>
  </si>
  <si>
    <t>Pneumatic/hydraulic systems</t>
  </si>
  <si>
    <t>07B1AE8A3A794F409E0FAC2C9283E4BC</t>
  </si>
  <si>
    <t>Table 11 of GENESIS_LCI_airframe_medium-term_PEMFC-bat_v01.xlsx. 1 unit corresponds to 118.655 kg of the valves.</t>
  </si>
  <si>
    <t>7964A55B9A7C49DE8684966D1870C8C1</t>
  </si>
  <si>
    <t>Table 11 of GENESIS_LCI_airframe_medium-term_PEMFC-bat_v01.xlsx. 1 unit corresponds to 52.141 kg of the filters.</t>
  </si>
  <si>
    <t>market for cellulose fibre</t>
  </si>
  <si>
    <t>88141BF49F9A406181FD989C39EE9DF7</t>
  </si>
  <si>
    <t>Table 11 of GENESIS_LCI_airframe_medium-term_PEMFC-bat_v01.xlsx. 1 unit corresponds to 141.526 kg of the pumps.</t>
  </si>
  <si>
    <t>treatment of aluminium scrap, post-consumer, prepared for recycling, at remelter</t>
  </si>
  <si>
    <t>4255E2D0AC6F4230B9FB11D941A5A976</t>
  </si>
  <si>
    <t>Table 11 of GENESIS_LCI_airframe_medium-term_PEMFC-bat_v01.xlsx. 1 unit corresponds to 260.706 kg of the lines/pipes.</t>
  </si>
  <si>
    <t>6BEE9EE8E1614C5EA8658CF080FD43EE</t>
  </si>
  <si>
    <t>Table 7 of GENESIS_LCI_airframe_medium-term_PEMFC-bat_v01.xlsx. 1 unit corresponds to 512.5 kg of the instruments.</t>
  </si>
  <si>
    <t>68974D131C0D45B48A59A439A14E562B</t>
  </si>
  <si>
    <t>Table 12 of GENESIS_LCI_airframe_medium-term_PEMFC-bat_v01.xlsx. 1 unit corresponds to 181.6 kg of the APU.</t>
  </si>
  <si>
    <t>market for magnesium-alloy, AZ91</t>
  </si>
  <si>
    <t>34D5621629674A92A6E709A7E5624082</t>
  </si>
  <si>
    <t>Table 8 of GENESIS_LCI_airframe_medium-term_PEMFC-bat_v01.xlsx. 1 unit corresponds to 1158.8 kg of furnishing</t>
  </si>
  <si>
    <t>market for fibre, viscose</t>
  </si>
  <si>
    <t>market for polyurethane, flexible foam, flame retardant</t>
  </si>
  <si>
    <t>F841B7C6F49947BE8CA6AA54C3138B5C</t>
  </si>
  <si>
    <t>Table 9 of GENESIS_LCI_airframe_medium-term_PEMFC-bat_v01.xlsx.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</si>
  <si>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</si>
  <si>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</si>
  <si>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</si>
  <si>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</si>
  <si>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</si>
  <si>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</si>
  <si>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</si>
  <si>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</si>
  <si>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GENESIS_LCI_airframe_medium-term_PEMFC-bat_v01.xlsx. 1 unit corresponds to 19 kg of trolleys</t>
  </si>
  <si>
    <t>9A62A69E58654EB0A6FCE9AA42854760</t>
  </si>
  <si>
    <t>Table 9 of GENESIS_LCI_airframe_medium-term_PEMFC-bat_v01.xlsx. 1 unit corresponds to 301.190 kg of galley</t>
  </si>
  <si>
    <t>8A93430D2E8149A58246FB4CD9022F90</t>
  </si>
  <si>
    <t>Table 9 of GENESIS_LCI_airframe_medium-term_PEMFC-bat_v01.xlsx. 1 unit corresponds to 10 kg of Manuals</t>
  </si>
  <si>
    <t>market for printed paper</t>
  </si>
  <si>
    <t>EDB7566B606C4485AA21094DDD474EC5</t>
  </si>
  <si>
    <t>Table 9 of GENESIS_LCI_airframe_medium-term_PEMFC-bat_v01.xlsx. 1 unit corresponds to 18.060 kg of fire extinguishers</t>
  </si>
  <si>
    <t>market for 1,1-difluoroethane, HFC-152a</t>
  </si>
  <si>
    <t>as proxy for HFC-227</t>
  </si>
  <si>
    <t>93FF1FC5E2954585AF303666E74C451B</t>
  </si>
  <si>
    <t>Table 9 of GENESIS_LCI_airframe_medium-term_PEMFC-bat_v01.xlsx. 1 unit corresponds to 21 kg of oxygen masks</t>
  </si>
  <si>
    <t>market for polyvinylchloride, emulsion polymerised</t>
  </si>
  <si>
    <t>49FF7F6BE6524F7FB7816DACBDE2BABB</t>
  </si>
  <si>
    <t>Table 9 of GENESIS_LCI_airframe_medium-term_PEMFC-bat_v01.xlsx. 1 unit corresponds to 61.6 kg of life vests</t>
  </si>
  <si>
    <t>production of hydrogen</t>
  </si>
  <si>
    <t>H2</t>
  </si>
  <si>
    <t>7FF6FD3A7B6243C5BFAFA159602A1B81</t>
  </si>
  <si>
    <t>Production of 1 kg of hydrogen in gaseous form</t>
  </si>
  <si>
    <t>contruction of H2 production plant</t>
  </si>
  <si>
    <t>Assuming that the stack will last 75.000 hours and the production volume a day is around 50.000 kg</t>
  </si>
  <si>
    <t>Electrical consumption 47 kWhe/kg H2 taken from Table 5 in Delpierre et al. (2021)</t>
  </si>
  <si>
    <t>Water consumption 9 kg/kg H2 taken from Table 5 in Delpierre et al. (2021)</t>
  </si>
  <si>
    <t>KOH consumption (AE) 1 g/kg H2 taken from Table 5 in Delpierre et al. (2021)</t>
  </si>
  <si>
    <t>Oxygen</t>
  </si>
  <si>
    <t>The factor 8 comes from the chemical equation (ratio H2/O2 is 1:8)</t>
  </si>
  <si>
    <t>liquefaction of hydrogen</t>
  </si>
  <si>
    <t>7EDDE36D2A21408CA42EC77715817886</t>
  </si>
  <si>
    <t>Liquefaction of 1 kg of hydrogen</t>
  </si>
  <si>
    <t>construction of H2 liquefaction system (for liquid H2)</t>
  </si>
  <si>
    <t>30 years lifetime and 16666667 kg/year</t>
  </si>
  <si>
    <t>Mixed refrigerant</t>
  </si>
  <si>
    <t>market for natural gas liquids</t>
  </si>
  <si>
    <t>market for ethane</t>
  </si>
  <si>
    <t>market for propane</t>
  </si>
  <si>
    <t>market for butane</t>
  </si>
  <si>
    <t>hydrogen</t>
  </si>
  <si>
    <t>554E2955018E488BBEA9843C01A1EE93</t>
  </si>
  <si>
    <t>1 kg of liquified hydrogen at airport</t>
  </si>
  <si>
    <t>construction of H2 supply system</t>
  </si>
  <si>
    <t>8018DC49F9014D7B83465A1CF7FBB823</t>
  </si>
  <si>
    <t>Construction of an alkaline electrolyzer with a power of 200MW</t>
  </si>
  <si>
    <t>production of electrolyzer module (20 MW)</t>
  </si>
  <si>
    <t>Electrolyser EoL, H2 plant construction EoL, PEMFC-bat</t>
  </si>
  <si>
    <t>B81F73C255C34B7995CA12EF9D46773C</t>
  </si>
  <si>
    <t>Production of one electrolzer module with 20 MW (3316122 kg)</t>
  </si>
  <si>
    <t>production of stack</t>
  </si>
  <si>
    <t>production of BoP components</t>
  </si>
  <si>
    <t>production of outdoor housing</t>
  </si>
  <si>
    <t>7D88165F751244C998F02916FE07AA05</t>
  </si>
  <si>
    <t>Production of 1 stack which equals 585508 kg</t>
  </si>
  <si>
    <t>market for aluminium, primary, ingot</t>
  </si>
  <si>
    <t>IAI Area, EU27 &amp; EFTA</t>
  </si>
  <si>
    <t>market for copper collector foil, for Li-ion battery</t>
  </si>
  <si>
    <t>market for flat glass, uncoated</t>
  </si>
  <si>
    <t>market for palladium</t>
  </si>
  <si>
    <t>market for polyester resin, unsaturated</t>
  </si>
  <si>
    <t>market for polyvinylchloride, bulk polymerised</t>
  </si>
  <si>
    <t xml:space="preserve">market for polypropylene, granulate </t>
  </si>
  <si>
    <t>market for acrylonitrile-butadiene-styrene copolymer</t>
  </si>
  <si>
    <t>505C84A8D991460EA12916D8BEE3F7E6</t>
  </si>
  <si>
    <t>Production of base of plate components (818125 kg) according to Table A1.2 as in GENESIS_LCI_H2_production_&amp;_supply_v01.xlsx</t>
  </si>
  <si>
    <t>production of chiller</t>
  </si>
  <si>
    <t>production of closed loop cooling</t>
  </si>
  <si>
    <t>production of control panel</t>
  </si>
  <si>
    <t>production of demi water supply</t>
  </si>
  <si>
    <t>production of hydrogen purification system</t>
  </si>
  <si>
    <t>production of instrument air</t>
  </si>
  <si>
    <t>production of nitrogen panel</t>
  </si>
  <si>
    <t>966517BF195F44238F1B667AC0F9EB74</t>
  </si>
  <si>
    <t>Production of chiller (50753 kg) according to Table A1.2.1 as in GENESIS_LCI_H2_production_&amp;_supply_v01.xlsx</t>
  </si>
  <si>
    <t>market for packaging glass, white</t>
  </si>
  <si>
    <t>market for brass</t>
  </si>
  <si>
    <t>EFD45AD1D14A4090879ED48C16FF108B</t>
  </si>
  <si>
    <t>Production of closed loop cooling (224860 kg) according to Table A1.2.2 as in GENESIS_LCI_H2_production_&amp;_supply_v01.xlsx</t>
  </si>
  <si>
    <t>market for fibre, polyester</t>
  </si>
  <si>
    <t>polyvinylchloride production, suspension polymerisation</t>
  </si>
  <si>
    <t>market for cast iron</t>
  </si>
  <si>
    <t>540AE9013F7A48F596CE65E6B517FE36</t>
  </si>
  <si>
    <t>Production of control panel (342000 kg) according to Table A1.2.3 as in GENESIS_LCI_H2_production_&amp;_supply_v01.xlsx</t>
  </si>
  <si>
    <t>F974BA2368834B479272A05B3D4D45DC</t>
  </si>
  <si>
    <t>Production of demi water supply (52686 kg) according to Table A1.2.4 as in GENESIS_LCI_H2_production_&amp;_supply_v01.xlsx</t>
  </si>
  <si>
    <t>anionic resin production</t>
  </si>
  <si>
    <t>Styrene divinylbenzene copolymer</t>
  </si>
  <si>
    <t>market for activated silica</t>
  </si>
  <si>
    <t>Nitrile butadiene rubber (NBR)</t>
  </si>
  <si>
    <t>1B9428FCC44F492DA30BEEB0F5A4FF5D</t>
  </si>
  <si>
    <t>Production of hydrogen purification system (109260kg) according to Table A1.2.5 as in GENESIS_LCI_H2_production_&amp;_supply_v01.xlsx</t>
  </si>
  <si>
    <t>market for platinum group metal concentrate</t>
  </si>
  <si>
    <t>ZA</t>
  </si>
  <si>
    <t>market for ceramic tile</t>
  </si>
  <si>
    <t>ceramic</t>
  </si>
  <si>
    <t>Ethylene propylene diene monomer (EPDM)</t>
  </si>
  <si>
    <t>EF943BC249BF497CB7E8F14722668962</t>
  </si>
  <si>
    <t>Production of instrument air (34380 kg) according to Table A1.2.6 as in GENESIS_LCI_H2_production_&amp;_supply_v01.xlsx</t>
  </si>
  <si>
    <t>market for bronze</t>
  </si>
  <si>
    <t>0C2F00E5D92644929EF9C4C36E0FD0BC</t>
  </si>
  <si>
    <t>Production of nitrogen panel (4187 kg) according to Table A1.2.7 as in GENESIS_LCI_H2_production_&amp;_supply_v01.xlsx</t>
  </si>
  <si>
    <t>B8AA581E5FC84B60961872D14824420C</t>
  </si>
  <si>
    <t>Production of outdoor housing (1912579 kg) according to Table A1.3 as in GENESIS_LCI_H2_production_&amp;_supply_v01.xlsx</t>
  </si>
  <si>
    <t>market for compact fluorescent lamp</t>
  </si>
  <si>
    <t>Acrylonitrile butadiene styrene (ABS)</t>
  </si>
  <si>
    <t>market for alkyd paint, white, without solvent, in 60% solution state</t>
  </si>
  <si>
    <t>Exterior paint</t>
  </si>
  <si>
    <t>treatment of aluminium, H2 plant construction EoL, PEMFC-bat</t>
  </si>
  <si>
    <t>1ECFE0AF7F3D41E4B11243DA01CB63E5</t>
  </si>
  <si>
    <t>H2 plant construction EoL</t>
  </si>
  <si>
    <t>H2 plant construction EoL, PEMFC-bat, Medium-Term</t>
  </si>
  <si>
    <t>treatment of copper, H2 plant construction EoL, PEMFC-bat</t>
  </si>
  <si>
    <t>7E0A13BD861F41CAA8B821B812480552</t>
  </si>
  <si>
    <t>treatment of steel, H2 plant construction EoL, PEMFC-bat</t>
  </si>
  <si>
    <t>82AD17443EF04B2BA3E03E6E9B6537AF</t>
  </si>
  <si>
    <t>treatment of composites, H2 plant construction EoL, PEMFC-bat</t>
  </si>
  <si>
    <t>0BF47AE75CEB45CD9C74B747B612EB51</t>
  </si>
  <si>
    <t>H2 plant construction EoL, for plastics, rubber, nylon and silicone</t>
  </si>
  <si>
    <t>treatment of graphite and resin, H2 plant construction EoL</t>
  </si>
  <si>
    <t>934CB6D79C2C42148C9962E54F070279</t>
  </si>
  <si>
    <t>treatment of electronics, H2 plant construction EoL, PEMFC-bat</t>
  </si>
  <si>
    <t>9CD299E302B241498475A1DE30250D20</t>
  </si>
  <si>
    <t>E51BA324C6B942CE83624DDC89C787DF</t>
  </si>
  <si>
    <t xml:space="preserve">polyethylene </t>
  </si>
  <si>
    <t>polypropylene</t>
  </si>
  <si>
    <t>polyurethane</t>
  </si>
  <si>
    <t>polyester</t>
  </si>
  <si>
    <t>alkyd paint</t>
  </si>
  <si>
    <t>1355143549354DCA9C4B80F34717E6C2</t>
  </si>
  <si>
    <t>construction of H2 liquefaction system (for liquid H2) according to GENESIS_LCI_H2_production_&amp;_supply_v01.xlsx Table AB. System weighs 1321410 kg</t>
  </si>
  <si>
    <t>market group for concrete, normal</t>
  </si>
  <si>
    <t>treatment of H2 liquefaction system, H2 liquefaction, PEMFC-bat</t>
  </si>
  <si>
    <t>treatment of aluminium, H2 liquefaction, PEMFC-bat</t>
  </si>
  <si>
    <t>H2 liquefaction</t>
  </si>
  <si>
    <t>H2 liquefaction, PEMFC-bat, Medium-Term</t>
  </si>
  <si>
    <t>treatment of copper, H2 liquefaction, PEMFC-bat</t>
  </si>
  <si>
    <t>3E9158A987BF493D84247F7A8178747A</t>
  </si>
  <si>
    <t>treatment of steel, H2 liquefaction, PEMFC-bat</t>
  </si>
  <si>
    <t>823C92560B2B4CC2898D0DB10CBDD0C1</t>
  </si>
  <si>
    <t>treatment of concrete, H2 liquefaction, PEMFC-bat</t>
  </si>
  <si>
    <t>57FBD49885F9430B8694279CB2346027</t>
  </si>
  <si>
    <t>treatment of waste concrete, not reinforced, recycling</t>
  </si>
  <si>
    <t>78D645BE5FE3497FB84AFBE7CDFDCF90</t>
  </si>
  <si>
    <t>assumed density 2300 kg/m3</t>
  </si>
  <si>
    <t>23,32 m3</t>
  </si>
  <si>
    <t>3E2F8CDE3B37498C97ED538BC272A2A4</t>
  </si>
  <si>
    <t>construction of H2 supply system according to GENESIS_LCI_H2_production_&amp;_supply_v01.xlsx Table B assuming that 1 kg of hydrogen is transported over a distance of 48.8 km</t>
  </si>
  <si>
    <t>transport, freight, lorry, unspecified, regional delivery</t>
  </si>
  <si>
    <t>production of LH2 transport storage tank</t>
  </si>
  <si>
    <t>same as for truck</t>
  </si>
  <si>
    <t>1752DD1B830449ECB5656E3CA2FD0B60</t>
  </si>
  <si>
    <t>construction of LH2 transport storage tank according to GENESIS_LCI_H2_production_&amp;_supply_v01.xlsx Table B1.1</t>
  </si>
  <si>
    <t>market for sheet rolling, aluminium</t>
  </si>
  <si>
    <t>treatment of H2 storage tank (transport), PEMFC-bat</t>
  </si>
  <si>
    <t>treatment of aluminium, H2 storage tank (transport), PEMFC-bat</t>
  </si>
  <si>
    <t>DB430B1EFBA84A2DAE91E6A555592582</t>
  </si>
  <si>
    <t>H2 transport</t>
  </si>
  <si>
    <t>treatment of polyurethane, H2 storage tank (transport), PEMFC-bat</t>
  </si>
  <si>
    <t>0CBD14AB46424409B040D91D75AF828B</t>
  </si>
  <si>
    <t>73A5EC095AF04C4DBB4F7BEAB1384BB9</t>
  </si>
  <si>
    <t>Decommissioning of battery ch. station, PEMFC-bat, Medium-Term</t>
  </si>
  <si>
    <t>2C8EF82A1B494E0E984240359A832208</t>
  </si>
  <si>
    <t xml:space="preserve">. </t>
  </si>
  <si>
    <t>EoL, Gt-bat, Medium-Term</t>
  </si>
  <si>
    <t>EoL power electronics, GT-bat, Medium-Term</t>
  </si>
  <si>
    <t>treatment of circuit components,Battery charging station, GT-bat, Medium-Term</t>
  </si>
  <si>
    <t>power electronics EoL, Gt-bat, Medium-Term</t>
  </si>
  <si>
    <t>44D639B9A9624FE3B2326F212F313265</t>
  </si>
  <si>
    <t>treatment of metals,Battery charging station, GT-bat, Medium-Term</t>
  </si>
  <si>
    <t>36A15B03C9444430A1AA3B5E47F86864</t>
  </si>
  <si>
    <t>treatment of plastics,Battery charging station, GT-bat, Medium-Term</t>
  </si>
  <si>
    <t>D7253A70ABB046FF800C75B38B06F5CA</t>
  </si>
  <si>
    <t>treatment of remaining material components,Battery charging station, GT-bat, Medium-Term</t>
  </si>
  <si>
    <t>ED4A7AC248D34346BCF40531A4B83709</t>
  </si>
  <si>
    <t>treatment of power electronics,Battery charging station, GT-bat, Medium-Term</t>
  </si>
  <si>
    <t>16372C4786CB4988945B26A9DC2D790F</t>
  </si>
  <si>
    <t>accounting for the 48 stations</t>
  </si>
  <si>
    <t>treatment of alu,Battery charging station, GT-bat, Medium-Term</t>
  </si>
  <si>
    <t>7B29AE60472C49F4B7D03972343DC2F3</t>
  </si>
  <si>
    <t>remaining alu and brass</t>
  </si>
  <si>
    <t>motors and drives EoL, Gt-bat, Medium-Term</t>
  </si>
  <si>
    <t>8D4CD0EFDD534655B8B6CA5F4517429B</t>
  </si>
  <si>
    <t>treatment of steel,Battery charging station, Gt-bat, Medium-Term</t>
  </si>
  <si>
    <t>motors and drives, GT-bat, Medium-Term</t>
  </si>
  <si>
    <t>D959DAB9C57A442791974BB06EEE9942</t>
  </si>
  <si>
    <t>treatment of ferrite ,Battery charging station, Gt-bat, Medium-Term</t>
  </si>
  <si>
    <t>treatment of scrap steel, municipal incineration</t>
  </si>
  <si>
    <t>market for ferrite</t>
  </si>
  <si>
    <t>from ecoinvent process for treatment</t>
  </si>
  <si>
    <t>E8731709F46B4F98B551A7F0488FDD19</t>
  </si>
  <si>
    <t>treatment of electronic components and cables ,Battery charging station, Gt-bat, Medium-Term</t>
  </si>
  <si>
    <t>assuming that half the wires will be reused</t>
  </si>
  <si>
    <t>FFB360AFD9E9413A8D80B6028A2A54ED</t>
  </si>
  <si>
    <t>treatment of remaining components,Battery charging station, GT-bat, Medium-Term</t>
  </si>
  <si>
    <t>production of casing</t>
  </si>
  <si>
    <t>airport</t>
  </si>
  <si>
    <t>7973BE31C4BF4485AEDFFDAAEC40A2F4</t>
  </si>
  <si>
    <t>total weight : 2494 kg</t>
  </si>
  <si>
    <t>9b20aabdab5590c519bb3d717c77acf2</t>
  </si>
  <si>
    <t>this process models all the steel plates components of the casing</t>
  </si>
  <si>
    <t>production of display unit</t>
  </si>
  <si>
    <t>34291682699047F69508C77059B21350</t>
  </si>
  <si>
    <t>total weight 257 kg</t>
  </si>
  <si>
    <t>market for electronic component, active, unspecified</t>
  </si>
  <si>
    <t>52c4f6d2e1ec507b1ccc96056a761c0d</t>
  </si>
  <si>
    <t>6a887870a4c93245f87c847a969ea18f</t>
  </si>
  <si>
    <t>production of plug</t>
  </si>
  <si>
    <t>ECA7B740F26344F0A234B5C1E2F2CD8E</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</si>
  <si>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</si>
  <si>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</si>
  <si>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</si>
  <si>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</si>
  <si>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</si>
  <si>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</si>
  <si>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</si>
  <si>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A838D77AFB304C2382F68188BB083898</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</si>
  <si>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</si>
  <si>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</si>
  <si>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</si>
  <si>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</si>
  <si>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</si>
  <si>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</si>
  <si>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</si>
  <si>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</si>
  <si>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</si>
  <si>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D62B3CC5360949A3AD8278945B4E7494</t>
  </si>
  <si>
    <t>output. Total 85.62 kg. Insulation fabric material is declared in the LCI but unspecified mass and material type. Hence it was not reported here</t>
  </si>
  <si>
    <t>683c18c43d5d1a5b067eb690cc9eb9f2</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</si>
  <si>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</si>
  <si>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</si>
  <si>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</si>
  <si>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</si>
  <si>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</si>
  <si>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</si>
  <si>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3694FE4A1D7A44618FD5A5A7AE3F2355</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</si>
  <si>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</si>
  <si>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</si>
  <si>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</si>
  <si>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</si>
  <si>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DDAB2684BD164E5296FDF98BD9933314</t>
  </si>
  <si>
    <t>output. Total 33 kg.</t>
  </si>
  <si>
    <t>E42C38D1C5274D05AFC4835D87E12958</t>
  </si>
  <si>
    <t>total weight : 178559.59 kg. Please use 1 unit of this process to model the total amount of charging stations needed for the medium term scenario</t>
  </si>
  <si>
    <t>Battery Charging modules</t>
  </si>
  <si>
    <t>Solder paste waste, battery charging, medium-term</t>
  </si>
  <si>
    <t>F338735A30F74C138FED678697F95BB0</t>
  </si>
  <si>
    <t>Hazardous waste incineration, battery charging, medium-term</t>
  </si>
  <si>
    <t>1E83C8DB055641918EC1A812B10785A1</t>
  </si>
  <si>
    <t>production of Steel terminals, screws and washers, battery charging, medium-term</t>
  </si>
  <si>
    <t>SAME SCALE!</t>
  </si>
  <si>
    <t>96FC306032C4448487E1741F2D6F6023</t>
  </si>
  <si>
    <t>production of copper bus bars, contacts, plates and foils, battery charging, medium-term</t>
  </si>
  <si>
    <t>00239D91A8B6408B866AF36CA9EAD60F</t>
  </si>
  <si>
    <t>Bus bar, laminated, battery charging, medium-term</t>
  </si>
  <si>
    <t>821A384A709945C8B6E025CE83EC3C10</t>
  </si>
  <si>
    <t>same scale</t>
  </si>
  <si>
    <t>production of driver board, assembled, battery charging, medium-term</t>
  </si>
  <si>
    <t>92AED1CC7706410EB74C63EFD752343B</t>
  </si>
  <si>
    <t>SAME!</t>
  </si>
  <si>
    <t>production of driver board, unassembled, battery charging, medium-term</t>
  </si>
  <si>
    <t>D0DCFC065C404E52A73366FF222191DE</t>
  </si>
  <si>
    <t>production of logic board, assembled, with connector, battery charging, medium-term</t>
  </si>
  <si>
    <t>556FD1EDCFDD479B83B3997524BB7B3B</t>
  </si>
  <si>
    <t>production of logic board, assembled, without connector, battery charging, medium-term</t>
  </si>
  <si>
    <t>E022ED8B8FB04A4CAC25A7D5F7EA4928</t>
  </si>
  <si>
    <t>production of logic board, unassembled, battery charging, medium-term</t>
  </si>
  <si>
    <t>CE7BCC05046D434C82BFD571811B9728</t>
  </si>
  <si>
    <t>production of ACDC power module, battery charging, medium-term</t>
  </si>
  <si>
    <t>F5EEF73B89C948DC9C8FA9CA6469F21F</t>
  </si>
  <si>
    <t>Table B1 of GENESIS_LCI_power_elec_drives_medium-term_v01.xlsx. 1 unit corresponds to 4.4 kg of DC/AC grid inverter</t>
  </si>
  <si>
    <t>production of  IGBT power module, complete, ACDC power module, battery charging, medium-term</t>
  </si>
  <si>
    <t>production of Galvanized terminals, screws and washers, ACDC power module, battery charging, medium-term</t>
  </si>
  <si>
    <t>production of plated cable glands, ACDC power module, battery charging, medium-term</t>
  </si>
  <si>
    <t>production of machined casing, DCDC power module, battery charging, medium-term</t>
  </si>
  <si>
    <t>weight check 22 kg</t>
  </si>
  <si>
    <t>B5D5240A0C9D468DB8A50D60A1231452</t>
  </si>
  <si>
    <t>production of Galvanization layer, ACDC power module, battery charging, medium-term</t>
  </si>
  <si>
    <t xml:space="preserve">assuming </t>
  </si>
  <si>
    <t>production of Cleaned terminals, screws and washers, ACDC power module, battery charging, medium-term</t>
  </si>
  <si>
    <t>B6CBB2F0C1A04026991B627284F73490</t>
  </si>
  <si>
    <t>D259EA62D9DD4233AF7447CD58B85C6F</t>
  </si>
  <si>
    <t>so 0,05 m2 = 0,3 kg</t>
  </si>
  <si>
    <t>production of nickel in plated layer, ACDC power module, battery charging, medium-term</t>
  </si>
  <si>
    <t>68A5D40F5C7C4CF38F356425E914E543</t>
  </si>
  <si>
    <t>AEB1E136C5914FE994792E20B4E2D95F</t>
  </si>
  <si>
    <t>production of cleaned cable glands, ACDC power module, battery charging, medium-term</t>
  </si>
  <si>
    <t>76D778E7B6DD4636B881AD8698D8B25B</t>
  </si>
  <si>
    <t>production of brass cable glands, ACDC power module, battery charging, medium-term</t>
  </si>
  <si>
    <t>59D6FDE202714EA6ACA1248DE18E6B78</t>
  </si>
  <si>
    <t>production of machined casing, ACDC power module, battery charging, medium-term</t>
  </si>
  <si>
    <t>97DDF1AAE6FF458087A2FFD6F2BE1952</t>
  </si>
  <si>
    <t>production of machined casing, mass scaled activities, ACDC power module, battery charging, medium-term</t>
  </si>
  <si>
    <t>FF935E172C864179A4B3522D0C1441E5</t>
  </si>
  <si>
    <t>production of die cast casing parts, ACDC power module, battery charging, medium-term</t>
  </si>
  <si>
    <t>E286264486444AB9BC6FDBECFFE8B72E</t>
  </si>
  <si>
    <t>E4E3C52F53074910BC5593DD8B701EE7</t>
  </si>
  <si>
    <t>production of Power module, open, potted, ACDC power module, battery charging, medium-term</t>
  </si>
  <si>
    <t>production of Lid, injection moulded, ACDC power module, battery charging, medium-term</t>
  </si>
  <si>
    <t>E134782B9C774C5994F0ABD58948C2C1</t>
  </si>
  <si>
    <t>188B41A6EDC1411D82BF732503656302</t>
  </si>
  <si>
    <t>production of potting gel layer, ACDC power module, battery charging, medium-term</t>
  </si>
  <si>
    <t>production of power module, open, wire bonded, ACDC power module, battery charging, medium-term</t>
  </si>
  <si>
    <t>506D69CD7AAF4D3A8D6D286DF54297E1</t>
  </si>
  <si>
    <t>A260082C98924709802C317209B8F290</t>
  </si>
  <si>
    <t>production of Copper Wire, ACDC power module, battery charging, medium-term</t>
  </si>
  <si>
    <t>production of baseplate module with frame, cleaned, ACDC power module, battery charging, medium-term</t>
  </si>
  <si>
    <t>42009B9E0E554B5A867D0FFC3C169ADC</t>
  </si>
  <si>
    <t>C71CE5B58865491D98FAE266E1712BC1</t>
  </si>
  <si>
    <t>production of baseplate module with frame, ACDC power module, battery charging, medium-term</t>
  </si>
  <si>
    <t>E5E82BFD7E0843AFAF4DE3A8238A0AF0</t>
  </si>
  <si>
    <t>production of baseplate module without frame, cleaned, ACDC power module, battery charging, medium-term</t>
  </si>
  <si>
    <t>Prodcution of frame with bonded terminals, ACDC power module, battery charging, medium-term</t>
  </si>
  <si>
    <t>DA9F1A0D9FCB4D138CA07054DA897F5A</t>
  </si>
  <si>
    <t>8461B7A34FAD4517BCCD2EBCBD87566E</t>
  </si>
  <si>
    <t>production of baseplate module without frame, ACDC power module, battery charging, medium-term</t>
  </si>
  <si>
    <t>7DAEFB92BFDF4437B0681824D27CB3EC</t>
  </si>
  <si>
    <t>production of DCB, with IGBT chips attached, ACDC power module, battery charging, medium-term</t>
  </si>
  <si>
    <t>production of baseplate, to furnace, ACDC power module, battery charging, medium-term</t>
  </si>
  <si>
    <t>0C9B992F0DBE4C46AE190EBBC4AB4CAC</t>
  </si>
  <si>
    <t>production of baseplate, cleaned and baked, ACDC power module, battery charging, medium-term</t>
  </si>
  <si>
    <t>4FC05DCAA9ED4D14A792C04720B49A1C</t>
  </si>
  <si>
    <t>production of baseplate, nickel plated, ACDC power module, battery charging, medium-term</t>
  </si>
  <si>
    <t>70FA19E585344797B53F77CA1A955782</t>
  </si>
  <si>
    <t>production of cleaned bus bars, contacts, plates and foils, ACDC power module, battery charging, medium-term</t>
  </si>
  <si>
    <t>CB223CE871954C9C96ACE40D6A8C2446</t>
  </si>
  <si>
    <t xml:space="preserve">error in their units assuming the weight and area they give corresponds - yes it seems like a high amount </t>
  </si>
  <si>
    <t>077B3FF59A1C4C5E838831AC91DBEF1E</t>
  </si>
  <si>
    <t>production of DCB substrate, to furnace, ACDC power module, battery charging, medium-term</t>
  </si>
  <si>
    <t>production of diced IGBT chips, ACDC power module, battery charging, medium-term</t>
  </si>
  <si>
    <t>AE62076E113F49EFB81F32C4FBDC57A7</t>
  </si>
  <si>
    <t>EF5B437E37464BEB8A88430FF63E26AD</t>
  </si>
  <si>
    <t>production of DCB substrate, cleaned and baked, ACDC power module, battery charging, medium-term</t>
  </si>
  <si>
    <t>B48C6C52A3534B958203B5252A81EA70</t>
  </si>
  <si>
    <t>production of DCB, patterned, nickel plated, ACDC power module, battery charging, medium-term</t>
  </si>
  <si>
    <t>09036873D5AE482DB68E999A439E4817</t>
  </si>
  <si>
    <t>production of DCB, patterned, ACDC power module, battery charging, medium-term</t>
  </si>
  <si>
    <t>DB7172F455814A6C9DDCEC83428C34E1</t>
  </si>
  <si>
    <t>production of DCB, before etching, ACDC power module, battery charging, medium-term</t>
  </si>
  <si>
    <t>4CA0AD53872E49DDB1D80EB5D0FDA389</t>
  </si>
  <si>
    <t>production of Alumina substrate, ACDC power module, battery charging, medium-term</t>
  </si>
  <si>
    <t>A8A6637017E24FDD9D327EC42E3A200B</t>
  </si>
  <si>
    <t>production of DCDC power module, battery charging, medium-term</t>
  </si>
  <si>
    <t>E1BEB9AFA9134BEAA4FD2DEFCE863217</t>
  </si>
  <si>
    <t>production of  IGBT power module, complete, DCDC power module, battery charging, medium-term</t>
  </si>
  <si>
    <t>production of Galvanized terminals, screws and washers, DCDC power module, battery charging, medium-term</t>
  </si>
  <si>
    <t>production of plated cable glands, DCDC power module, battery charging, medium-term</t>
  </si>
  <si>
    <t>weight check 17 kg</t>
  </si>
  <si>
    <t>4C2494B816BC450C950A903271E07BAA</t>
  </si>
  <si>
    <t>production of Galvanization layer, DCDC power module, battery charging, medium-term</t>
  </si>
  <si>
    <t>assuming (see below)</t>
  </si>
  <si>
    <t>production of Cleaned terminals, screws and washers, DCDC power module, battery charging, medium-term</t>
  </si>
  <si>
    <t>3C7FF888E74F4B0A867221B2782AE00C</t>
  </si>
  <si>
    <t>7D72D1893DC343299B1F37EFF59A5BDD</t>
  </si>
  <si>
    <t>so 0,29 kg screws corresponds to 0,05 m2</t>
  </si>
  <si>
    <t>production of nickel in plated layer, DCDC power module, battery charging, medium-term</t>
  </si>
  <si>
    <t>066CCCDF39884883AADF46252F6E7DF9</t>
  </si>
  <si>
    <t>FA7F925A0698425D999D395087EDE2D7</t>
  </si>
  <si>
    <t>production of cleaned cable glands, DCDC power module, battery charging, medium-term</t>
  </si>
  <si>
    <t>FF2330FB4FB644729493305CB96F2B7C</t>
  </si>
  <si>
    <t>production of brass cable glands, DCDC power module, battery charging, medium-term</t>
  </si>
  <si>
    <t>ECF7304D161F41099711C1757C2DEAC7</t>
  </si>
  <si>
    <t>FD8619D8BAAE44AD882ED3D84FC1AF55</t>
  </si>
  <si>
    <t>production of machined casing, mass scaled activities, DCDC power module, battery charging, medium-term</t>
  </si>
  <si>
    <t>68C9A1C25B5A4C489F043432A612EF97</t>
  </si>
  <si>
    <t>production of die cast casing parts, DCDC power module, battery charging, medium-term</t>
  </si>
  <si>
    <t>783A44F8CF0C4E83872D653849C0A357</t>
  </si>
  <si>
    <t>35D5AA520195417BB45F7F20B5EBA6DA</t>
  </si>
  <si>
    <t>production of Power module, open, potted, DCDC power module, battery charging, medium-term</t>
  </si>
  <si>
    <t>production of Lid, injection moulded, DCDC power module, battery charging, medium-term</t>
  </si>
  <si>
    <t>B61DB6A80A6A4F63B73D6CA928FF8FE3</t>
  </si>
  <si>
    <t>1F13FCE1839E43CE90FC7F0832A2BE1A</t>
  </si>
  <si>
    <t>production of potting gel layer, DCDC power module, battery charging, medium-term</t>
  </si>
  <si>
    <t>production of power module, open, wire bonded, DCDC power module, battery charging, medium-term</t>
  </si>
  <si>
    <t>C83582E918F64B56AF4E85B2D2B35958</t>
  </si>
  <si>
    <t>38ADDB217FA04D7D92D9C8DE55E7AE1C</t>
  </si>
  <si>
    <t>production of Copper Wire, DCDC power module, battery charging, medium-term</t>
  </si>
  <si>
    <t>production of baseplate module with frame, cleaned, DCDC power module, battery charging, medium-term</t>
  </si>
  <si>
    <t>090313BF9B0B4CCB80E2DAD8C42B2F72</t>
  </si>
  <si>
    <t>045F852F2BE847EAAEF4F102DCDCD0CF</t>
  </si>
  <si>
    <t>production of baseplate module with frame, DCDC power module, battery charging, medium-term</t>
  </si>
  <si>
    <t>BC97066E10624194918E7D7CBF04A0BE</t>
  </si>
  <si>
    <t>production of baseplate module without frame, cleaned, DCDC power module, battery charging, medium-term</t>
  </si>
  <si>
    <t>assuming 0,7272 kg/m2  - see reusable sheet</t>
  </si>
  <si>
    <t>Prodcution of frame with bonded terminals, DCDC power module, battery charging, medium-term</t>
  </si>
  <si>
    <t>71BC32B625E948839B20B5ADDCC17D61</t>
  </si>
  <si>
    <t>C348912F5D1A4FA2BD76C7E55F795B85</t>
  </si>
  <si>
    <t>production of baseplate module without frame, DCDC power module, battery charging, medium-term</t>
  </si>
  <si>
    <t>D3CE8FC8BACB4B93AD25DE5374D952D8</t>
  </si>
  <si>
    <t>production of DCB, with IGBT chips attached, DCDC power module, battery charging, medium-term</t>
  </si>
  <si>
    <t>production of baseplate, to furnace, DCDC power module, battery charging, medium-term</t>
  </si>
  <si>
    <t>9FB6745AB0414A148C1E601A39C64122</t>
  </si>
  <si>
    <t>production of baseplate, cleaned and baked, DCDC power module, battery charging, medium-term</t>
  </si>
  <si>
    <t>7FC6DD587DA542EE96ACF94A1D60F603</t>
  </si>
  <si>
    <t>production of baseplate, nickel plated, DCDC power module, battery charging, medium-term</t>
  </si>
  <si>
    <t>72D0A965393F40AF839C1E374A14CB96</t>
  </si>
  <si>
    <t>production of cleaned bus bars, contacts, plates and foils, DCDC power module, battery charging, medium-term</t>
  </si>
  <si>
    <t>A977ACE036B541F08C3E565DAFF2D313</t>
  </si>
  <si>
    <t>error in their units assuming the weight and area they give corresponds - yes it seems like a lot</t>
  </si>
  <si>
    <t>19D8D28F9A7C4AE4B36E30C96FF64274</t>
  </si>
  <si>
    <t>production of DCB substrate, to furnace, DCDC power module, battery charging, medium-term</t>
  </si>
  <si>
    <t>production of diced IGBT chips, DCDC power module, battery charging, medium-term</t>
  </si>
  <si>
    <t>3817F1F6557343E2B2212A45A6960345</t>
  </si>
  <si>
    <t>87DD6FD6C7644F00B689B72F80F67F19</t>
  </si>
  <si>
    <t>production of DCB substrate, cleaned and baked, DCDC power module, battery charging, medium-term</t>
  </si>
  <si>
    <t>DD910279FB1D4275B03581175B61BB5F</t>
  </si>
  <si>
    <t>production of DCB, patterned, nickel plated, DCDC power module, battery charging, medium-term</t>
  </si>
  <si>
    <t>56515896DE394A2FB3FAD3D33356F7B4</t>
  </si>
  <si>
    <t>production of DCB, patterned, DCDC power module, battery charging, medium-term</t>
  </si>
  <si>
    <t>8EF32EAF6CB643018FFEC591B6C573AC</t>
  </si>
  <si>
    <t>production of DCB, before etching, DCDC power module, battery charging, medium-term</t>
  </si>
  <si>
    <t>9DC36DE4F9F847E5A18D3BCB11DF0663</t>
  </si>
  <si>
    <t>production of Alumina substrate, DCDC power module, battery charging, medium-term</t>
  </si>
  <si>
    <t>F336B58A72BE4C61854F843CF8AF6B54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</si>
</sst>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0.000"/>
    <numFmt numFmtId="165" formatCode="0.0000"/>
    <numFmt numFmtId="166" formatCode="_-* #,##0.0000_-;\-* #,##0.0000_-;_-* &quot;-&quot;??_-;_-@_-"/>
    <numFmt numFmtId="167" formatCode="0.0"/>
    <numFmt numFmtId="168" formatCode="0.0E+00"/>
    <numFmt numFmtId="169" formatCode="0E+00"/>
    <numFmt numFmtId="170" formatCode="_-* #,##0.00000000_-;\-* #,##0.00000000_-;_-* &quot;-&quot;??_-;_-@_-"/>
    <numFmt numFmtId="171" formatCode="_-* #,##0.0000000_-;\-* #,##0.0000000_-;_-* &quot;-&quot;??_-;_-@_-"/>
  </numFmts>
  <fonts count="5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i/>
      <sz val="10"/>
      <color rgb="FFFF0000"/>
      <name val="Calibri"/>
      <family val="2"/>
      <scheme val="minor"/>
    </font>
    <font>
      <b/>
      <sz val="12"/>
      <color rgb="FF000000"/>
      <name val="Calibri"/>
      <family val="2"/>
      <scheme val="minor"/>
    </font>
    <font>
      <sz val="11"/>
      <color rgb="FF000000"/>
      <name val="Calibri"/>
      <family val="2"/>
      <scheme val="minor"/>
    </font>
    <font>
      <sz val="12"/>
      <color rgb="FF000000"/>
      <name val="Calibri"/>
      <family val="2"/>
      <scheme val="minor"/>
    </font>
    <font>
      <sz val="10"/>
      <color theme="1"/>
      <name val="Var(--jp-code-font-family)"/>
    </font>
    <font>
      <i/>
      <sz val="11"/>
      <name val="Calibri"/>
      <family val="2"/>
      <scheme val="minor"/>
    </font>
    <font>
      <sz val="10"/>
      <name val="Var(--jp-code-font-family)"/>
    </font>
    <font>
      <sz val="10"/>
      <color rgb="FF000000"/>
      <name val="Calibri"/>
      <family val="2"/>
      <scheme val="minor"/>
    </font>
    <font>
      <sz val="11"/>
      <color rgb="FF000000"/>
      <name val="Calibri"/>
      <family val="2"/>
    </font>
    <font>
      <b/>
      <sz val="10"/>
      <color theme="1"/>
      <name val="Calibri"/>
      <family val="2"/>
      <scheme val="minor"/>
    </font>
    <font>
      <sz val="11"/>
      <color rgb="FFFF0000"/>
      <name val="Calibri"/>
      <family val="2"/>
      <scheme val="minor"/>
    </font>
    <font>
      <sz val="10"/>
      <color theme="1"/>
      <name val="Arial Unicode MS"/>
    </font>
    <font>
      <sz val="10"/>
      <color theme="1"/>
      <name val="Var(--Jp-Code-Font-Family)"/>
      <charset val="1"/>
    </font>
    <font>
      <sz val="11"/>
      <color theme="1"/>
      <name val="Times New Roman"/>
      <family val="1"/>
    </font>
    <font>
      <sz val="11"/>
      <color theme="1"/>
      <name val="Arial"/>
      <family val="2"/>
    </font>
    <font>
      <b/>
      <sz val="12"/>
      <name val="Calibri"/>
      <family val="2"/>
      <scheme val="minor"/>
    </font>
    <font>
      <b/>
      <sz val="11"/>
      <color rgb="FF000000"/>
      <name val="Calibri"/>
      <family val="2"/>
      <scheme val="minor"/>
    </font>
    <font>
      <i/>
      <sz val="11"/>
      <color theme="1"/>
      <name val="Calibri"/>
      <family val="2"/>
    </font>
    <font>
      <i/>
      <sz val="11"/>
      <color rgb="FF000000"/>
      <name val="Calibri"/>
      <family val="2"/>
      <scheme val="minor"/>
    </font>
    <font>
      <b/>
      <sz val="10"/>
      <color theme="1"/>
      <name val="Var(--jp-code-font-family)"/>
    </font>
    <font>
      <sz val="11"/>
      <color rgb="FF222222"/>
      <name val="Helvetica LT Pro Light"/>
      <family val="2"/>
    </font>
    <font>
      <b/>
      <sz val="11"/>
      <name val="Calibri"/>
      <family val="2"/>
      <scheme val="minor"/>
    </font>
    <font>
      <sz val="10"/>
      <color rgb="FF000000"/>
      <name val="Var(--jp-code-font-family)"/>
    </font>
    <font>
      <sz val="11"/>
      <color rgb="FF000000"/>
      <name val="Times New Roman"/>
      <family val="1"/>
    </font>
    <font>
      <sz val="11"/>
      <color rgb="FF222222"/>
      <name val="Calibri"/>
      <family val="2"/>
      <scheme val="minor"/>
    </font>
    <font>
      <b/>
      <sz val="11"/>
      <color rgb="FFFF0000"/>
      <name val="Calibri"/>
      <family val="2"/>
      <scheme val="minor"/>
    </font>
    <font>
      <sz val="10"/>
      <name val="Calibri"/>
      <family val="2"/>
    </font>
    <font>
      <sz val="9"/>
      <color rgb="FF333333"/>
      <name val="Segoe UI"/>
      <family val="2"/>
    </font>
    <font>
      <sz val="11"/>
      <color rgb="FF000000"/>
      <name val="Arial"/>
      <family val="2"/>
    </font>
    <font>
      <sz val="10"/>
      <color rgb="FF333333"/>
      <name val="Arial"/>
      <family val="2"/>
    </font>
    <font>
      <sz val="11"/>
      <color rgb="FF444444"/>
      <name val="Calibri"/>
      <family val="2"/>
      <scheme val="minor"/>
    </font>
    <font>
      <b/>
      <i/>
      <sz val="11"/>
      <color rgb="FF000000"/>
      <name val="Calibri"/>
      <family val="2"/>
      <scheme val="minor"/>
    </font>
    <font>
      <sz val="1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b/>
      <sz val="10"/>
      <name val="Calibri"/>
      <family val="2"/>
      <scheme val="minor"/>
    </font>
    <font>
      <sz val="10"/>
      <color rgb="FF222222"/>
      <name val="Calibri"/>
      <family val="2"/>
      <scheme val="minor"/>
    </font>
    <font>
      <sz val="10"/>
      <color rgb="FF222222"/>
      <name val="Helvetica LT Pro Light"/>
      <family val="2"/>
    </font>
  </fonts>
  <fills count="39">
    <fill>
      <patternFill patternType="none"/>
    </fill>
    <fill>
      <patternFill patternType="gray125"/>
    </fill>
    <fill>
      <patternFill patternType="solid">
        <fgColor theme="6" tint="0.39997558519241921"/>
        <bgColor indexed="64"/>
      </patternFill>
    </fill>
    <fill>
      <patternFill patternType="solid">
        <fgColor rgb="FFFF000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6"/>
        <bgColor indexed="64"/>
      </patternFill>
    </fill>
    <fill>
      <patternFill patternType="solid">
        <fgColor rgb="FFFFC000"/>
        <bgColor rgb="FFFFC000"/>
      </patternFill>
    </fill>
    <fill>
      <patternFill patternType="solid">
        <fgColor rgb="FFFFFFFF"/>
        <bgColor rgb="FFFFFFFF"/>
      </patternFill>
    </fill>
    <fill>
      <patternFill patternType="solid">
        <fgColor theme="8" tint="0.39997558519241921"/>
        <bgColor indexed="64"/>
      </patternFill>
    </fill>
    <fill>
      <patternFill patternType="solid">
        <fgColor theme="9"/>
        <bgColor indexed="64"/>
      </patternFill>
    </fill>
    <fill>
      <patternFill patternType="solid">
        <fgColor rgb="FF4BACC6"/>
        <bgColor rgb="FF4BACC6"/>
      </patternFill>
    </fill>
    <fill>
      <patternFill patternType="solid">
        <fgColor rgb="FFB8CCE4"/>
        <bgColor rgb="FFB8CCE4"/>
      </patternFill>
    </fill>
    <fill>
      <patternFill patternType="solid">
        <fgColor rgb="FFFFC000"/>
        <bgColor indexed="64"/>
      </patternFill>
    </fill>
    <fill>
      <patternFill patternType="solid">
        <fgColor rgb="FF92D050"/>
        <bgColor rgb="FF92D050"/>
      </patternFill>
    </fill>
    <fill>
      <patternFill patternType="solid">
        <fgColor rgb="FFFF0000"/>
        <bgColor rgb="FF000000"/>
      </patternFill>
    </fill>
    <fill>
      <patternFill patternType="solid">
        <fgColor rgb="FFFFFFFF"/>
        <bgColor rgb="FF000000"/>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C00000"/>
        <bgColor indexed="64"/>
      </patternFill>
    </fill>
    <fill>
      <patternFill patternType="solid">
        <fgColor rgb="FF00B050"/>
        <bgColor rgb="FF000000"/>
      </patternFill>
    </fill>
    <fill>
      <patternFill patternType="solid">
        <fgColor rgb="FFEFDECD"/>
        <bgColor rgb="FFD9D9D9"/>
      </patternFill>
    </fill>
    <fill>
      <patternFill patternType="solid">
        <fgColor theme="9" tint="0.79998168889431442"/>
        <bgColor indexed="64"/>
      </patternFill>
    </fill>
    <fill>
      <patternFill patternType="solid">
        <fgColor theme="0"/>
        <bgColor rgb="FF000000"/>
      </patternFill>
    </fill>
    <fill>
      <patternFill patternType="solid">
        <fgColor theme="7"/>
        <bgColor indexed="64"/>
      </patternFill>
    </fill>
    <fill>
      <patternFill patternType="solid">
        <fgColor theme="5"/>
        <bgColor indexed="64"/>
      </patternFill>
    </fill>
    <fill>
      <patternFill patternType="solid">
        <fgColor theme="0"/>
        <bgColor rgb="FFD9D9D9"/>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BDD7EE"/>
        <bgColor rgb="FF000000"/>
      </patternFill>
    </fill>
    <fill>
      <patternFill patternType="solid">
        <fgColor theme="8"/>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rgb="FFFFFFFF"/>
      </patternFill>
    </fill>
    <fill>
      <patternFill patternType="solid">
        <fgColor theme="6" tint="0.39997558519241921"/>
        <bgColor rgb="FFFFFFFF"/>
      </patternFill>
    </fill>
    <fill>
      <patternFill patternType="solid">
        <fgColor theme="9" tint="0.59999389629810485"/>
        <bgColor indexed="64"/>
      </patternFill>
    </fill>
  </fills>
  <borders count="3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497">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2" fontId="0" fillId="0" borderId="0" xfId="0" applyNumberFormat="1"/>
    <xf numFmtId="0" fontId="0" fillId="0" borderId="0" xfId="0" applyAlignment="1">
      <alignment vertical="center"/>
    </xf>
    <xf numFmtId="0" fontId="5" fillId="0" borderId="0" xfId="0" applyFont="1" applyAlignment="1">
      <alignment vertical="center"/>
    </xf>
    <xf numFmtId="0" fontId="8" fillId="0" borderId="0" xfId="0" applyFont="1" applyAlignment="1">
      <alignment vertical="center"/>
    </xf>
    <xf numFmtId="0" fontId="2" fillId="0" borderId="0" xfId="0" applyFont="1" applyAlignment="1">
      <alignment vertical="center"/>
    </xf>
    <xf numFmtId="0" fontId="11"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8" fillId="0" borderId="0" xfId="0" applyFont="1" applyAlignment="1">
      <alignment horizontal="left" vertical="center"/>
    </xf>
    <xf numFmtId="11" fontId="8" fillId="0" borderId="0" xfId="0" applyNumberFormat="1" applyFont="1" applyAlignment="1">
      <alignment vertical="center"/>
    </xf>
    <xf numFmtId="1" fontId="8" fillId="0" borderId="0" xfId="0" applyNumberFormat="1" applyFont="1" applyAlignment="1">
      <alignment vertical="center"/>
    </xf>
    <xf numFmtId="164" fontId="8" fillId="0" borderId="0" xfId="0" applyNumberFormat="1" applyFont="1" applyAlignment="1">
      <alignment vertical="center"/>
    </xf>
    <xf numFmtId="165" fontId="8" fillId="0" borderId="0" xfId="0" applyNumberFormat="1" applyFont="1" applyAlignment="1">
      <alignment vertical="center"/>
    </xf>
    <xf numFmtId="0" fontId="8" fillId="0" borderId="0" xfId="0" applyFont="1" applyAlignment="1">
      <alignment vertical="center" wrapText="1"/>
    </xf>
    <xf numFmtId="0" fontId="12" fillId="0" borderId="2" xfId="0" applyFont="1" applyBorder="1"/>
    <xf numFmtId="0" fontId="5" fillId="0" borderId="2" xfId="0" applyFont="1" applyBorder="1"/>
    <xf numFmtId="0" fontId="13" fillId="0" borderId="2" xfId="0" applyFont="1" applyBorder="1"/>
    <xf numFmtId="0" fontId="0" fillId="0" borderId="2" xfId="0" applyBorder="1"/>
    <xf numFmtId="0" fontId="13" fillId="0" borderId="0" xfId="0" applyFont="1"/>
    <xf numFmtId="0" fontId="13" fillId="3" borderId="0" xfId="0" applyFont="1" applyFill="1"/>
    <xf numFmtId="0" fontId="14" fillId="0" borderId="0" xfId="0" applyFont="1"/>
    <xf numFmtId="0" fontId="12" fillId="0" borderId="0" xfId="0" applyFont="1"/>
    <xf numFmtId="0" fontId="8" fillId="0" borderId="0" xfId="0" applyFont="1"/>
    <xf numFmtId="0" fontId="15" fillId="0" borderId="0" xfId="0" applyFont="1" applyAlignment="1">
      <alignment horizontal="left" vertical="center"/>
    </xf>
    <xf numFmtId="166" fontId="9" fillId="0" borderId="0" xfId="29" applyNumberFormat="1" applyFont="1" applyFill="1"/>
    <xf numFmtId="0" fontId="0" fillId="4" borderId="0" xfId="0" applyFill="1"/>
    <xf numFmtId="0" fontId="14" fillId="4" borderId="0" xfId="0" applyFont="1" applyFill="1"/>
    <xf numFmtId="0" fontId="13" fillId="4" borderId="0" xfId="0" applyFont="1" applyFill="1"/>
    <xf numFmtId="0" fontId="16" fillId="0" borderId="0" xfId="0" applyFont="1"/>
    <xf numFmtId="0" fontId="12" fillId="5" borderId="2" xfId="0" applyFont="1" applyFill="1" applyBorder="1"/>
    <xf numFmtId="0" fontId="5" fillId="5" borderId="2" xfId="0" applyFont="1" applyFill="1" applyBorder="1"/>
    <xf numFmtId="0" fontId="13" fillId="5" borderId="2" xfId="0" applyFont="1" applyFill="1" applyBorder="1"/>
    <xf numFmtId="0" fontId="0" fillId="5" borderId="2" xfId="0" applyFill="1" applyBorder="1"/>
    <xf numFmtId="166" fontId="9" fillId="5" borderId="0" xfId="29" applyNumberFormat="1" applyFont="1" applyFill="1"/>
    <xf numFmtId="2" fontId="0" fillId="5" borderId="0" xfId="0" applyNumberFormat="1" applyFill="1"/>
    <xf numFmtId="0" fontId="0" fillId="5" borderId="0" xfId="0" applyFill="1"/>
    <xf numFmtId="0" fontId="6" fillId="0" borderId="0" xfId="0" applyFont="1" applyAlignment="1">
      <alignment horizontal="left" vertical="center"/>
    </xf>
    <xf numFmtId="0" fontId="17" fillId="0" borderId="0" xfId="0" applyFont="1" applyAlignment="1">
      <alignment horizontal="left" vertical="center"/>
    </xf>
    <xf numFmtId="0" fontId="18" fillId="0" borderId="0" xfId="0" applyFont="1"/>
    <xf numFmtId="0" fontId="6" fillId="0" borderId="0" xfId="0" applyFont="1" applyAlignment="1">
      <alignment vertical="center"/>
    </xf>
    <xf numFmtId="0" fontId="19" fillId="0" borderId="4" xfId="0" applyFont="1" applyBorder="1"/>
    <xf numFmtId="0" fontId="19" fillId="0" borderId="5" xfId="0" applyFont="1" applyBorder="1"/>
    <xf numFmtId="0" fontId="0" fillId="0" borderId="6" xfId="0" applyBorder="1"/>
    <xf numFmtId="0" fontId="0" fillId="0" borderId="4" xfId="0" applyBorder="1"/>
    <xf numFmtId="0" fontId="0" fillId="0" borderId="5" xfId="0" applyBorder="1"/>
    <xf numFmtId="0" fontId="20" fillId="0" borderId="3" xfId="0" applyFont="1" applyBorder="1" applyAlignment="1">
      <alignment horizontal="center" vertical="center"/>
    </xf>
    <xf numFmtId="0" fontId="20" fillId="0" borderId="0" xfId="0" applyFont="1" applyAlignment="1">
      <alignment horizontal="center" vertical="center"/>
    </xf>
    <xf numFmtId="0" fontId="20" fillId="0" borderId="8"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left"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2" fontId="8" fillId="0" borderId="0" xfId="0" applyNumberFormat="1" applyFont="1" applyAlignment="1">
      <alignment vertical="center"/>
    </xf>
    <xf numFmtId="0" fontId="8" fillId="0" borderId="8" xfId="0" applyFont="1" applyBorder="1" applyAlignment="1">
      <alignment vertical="center"/>
    </xf>
    <xf numFmtId="0" fontId="8" fillId="0" borderId="11" xfId="0" applyFont="1" applyBorder="1" applyAlignment="1">
      <alignment vertical="center"/>
    </xf>
    <xf numFmtId="0" fontId="8" fillId="0" borderId="9" xfId="0" applyFont="1" applyBorder="1" applyAlignment="1">
      <alignment vertical="center"/>
    </xf>
    <xf numFmtId="0" fontId="8" fillId="5" borderId="0" xfId="0" applyFont="1" applyFill="1" applyAlignment="1">
      <alignment vertical="center"/>
    </xf>
    <xf numFmtId="0" fontId="8" fillId="5" borderId="0" xfId="0" applyFont="1" applyFill="1" applyAlignment="1">
      <alignment horizontal="left" vertical="center"/>
    </xf>
    <xf numFmtId="0" fontId="20" fillId="0" borderId="12" xfId="0" applyFont="1" applyBorder="1" applyAlignment="1">
      <alignment horizontal="center" vertical="center"/>
    </xf>
    <xf numFmtId="0" fontId="8" fillId="0" borderId="13" xfId="0" applyFont="1" applyBorder="1" applyAlignment="1">
      <alignment horizontal="center" vertical="center"/>
    </xf>
    <xf numFmtId="0" fontId="0" fillId="6" borderId="0" xfId="0" applyFill="1"/>
    <xf numFmtId="0" fontId="5" fillId="6" borderId="0" xfId="0" applyFont="1" applyFill="1"/>
    <xf numFmtId="0" fontId="2" fillId="6" borderId="0" xfId="0" applyFont="1" applyFill="1"/>
    <xf numFmtId="0" fontId="2" fillId="6" borderId="2" xfId="0" applyFont="1" applyFill="1" applyBorder="1"/>
    <xf numFmtId="0" fontId="5" fillId="6" borderId="2" xfId="0" applyFont="1" applyFill="1" applyBorder="1"/>
    <xf numFmtId="0" fontId="0" fillId="6" borderId="2" xfId="0" applyFill="1" applyBorder="1"/>
    <xf numFmtId="0" fontId="1" fillId="6" borderId="0" xfId="0" applyFont="1" applyFill="1"/>
    <xf numFmtId="0" fontId="15" fillId="6" borderId="0" xfId="0" applyFont="1" applyFill="1" applyAlignment="1">
      <alignment horizontal="left" vertical="center"/>
    </xf>
    <xf numFmtId="0" fontId="22" fillId="0" borderId="0" xfId="0" applyFont="1" applyAlignment="1">
      <alignment vertical="center"/>
    </xf>
    <xf numFmtId="0" fontId="23" fillId="7" borderId="0" xfId="0" applyFont="1" applyFill="1"/>
    <xf numFmtId="0" fontId="24" fillId="6" borderId="0" xfId="0" applyFont="1" applyFill="1"/>
    <xf numFmtId="0" fontId="25" fillId="6" borderId="0" xfId="0" applyFont="1" applyFill="1"/>
    <xf numFmtId="0" fontId="24" fillId="0" borderId="0" xfId="0" applyFont="1"/>
    <xf numFmtId="0" fontId="2" fillId="0" borderId="1" xfId="0" applyFont="1" applyBorder="1"/>
    <xf numFmtId="0" fontId="2" fillId="0" borderId="2" xfId="0" applyFont="1" applyBorder="1"/>
    <xf numFmtId="0" fontId="0" fillId="0" borderId="3" xfId="0" applyBorder="1"/>
    <xf numFmtId="0" fontId="5" fillId="0" borderId="0" xfId="0" applyFont="1"/>
    <xf numFmtId="0" fontId="0" fillId="0" borderId="0" xfId="0" applyAlignment="1">
      <alignment wrapText="1"/>
    </xf>
    <xf numFmtId="0" fontId="0" fillId="0" borderId="0" xfId="0" applyAlignment="1">
      <alignment horizontal="left" vertical="center"/>
    </xf>
    <xf numFmtId="0" fontId="2" fillId="0" borderId="3" xfId="0" applyFont="1" applyBorder="1"/>
    <xf numFmtId="0" fontId="1" fillId="0" borderId="3" xfId="0" applyFont="1" applyBorder="1"/>
    <xf numFmtId="0" fontId="26" fillId="0" borderId="1" xfId="0" applyFont="1" applyBorder="1"/>
    <xf numFmtId="0" fontId="9" fillId="0" borderId="2" xfId="0" applyFont="1" applyBorder="1"/>
    <xf numFmtId="0" fontId="6" fillId="0" borderId="3" xfId="0" applyFont="1" applyBorder="1"/>
    <xf numFmtId="0" fontId="26" fillId="0" borderId="3" xfId="0" applyFont="1" applyBorder="1"/>
    <xf numFmtId="0" fontId="1" fillId="8" borderId="0" xfId="0" applyFont="1" applyFill="1"/>
    <xf numFmtId="0" fontId="13" fillId="0" borderId="0" xfId="0" applyFont="1" applyAlignment="1">
      <alignment horizontal="center"/>
    </xf>
    <xf numFmtId="164" fontId="0" fillId="0" borderId="0" xfId="0" applyNumberFormat="1"/>
    <xf numFmtId="0" fontId="21" fillId="0" borderId="3" xfId="0" applyFont="1" applyBorder="1"/>
    <xf numFmtId="165" fontId="13" fillId="0" borderId="0" xfId="0" applyNumberFormat="1" applyFont="1" applyAlignment="1">
      <alignment horizontal="center" vertical="center" wrapText="1"/>
    </xf>
    <xf numFmtId="11" fontId="0" fillId="0" borderId="0" xfId="0" applyNumberFormat="1"/>
    <xf numFmtId="0" fontId="13" fillId="9" borderId="0" xfId="0" applyFont="1" applyFill="1"/>
    <xf numFmtId="0" fontId="13" fillId="9" borderId="0" xfId="0" applyFont="1" applyFill="1" applyAlignment="1">
      <alignment horizontal="center"/>
    </xf>
    <xf numFmtId="0" fontId="13" fillId="9" borderId="14" xfId="0" applyFont="1" applyFill="1" applyBorder="1"/>
    <xf numFmtId="0" fontId="13" fillId="9" borderId="14" xfId="0" applyFont="1" applyFill="1" applyBorder="1" applyAlignment="1">
      <alignment horizontal="center"/>
    </xf>
    <xf numFmtId="0" fontId="15" fillId="2" borderId="0" xfId="0" applyFont="1" applyFill="1" applyAlignment="1">
      <alignment horizontal="left" vertical="center"/>
    </xf>
    <xf numFmtId="0" fontId="27" fillId="0" borderId="0" xfId="0" applyFont="1"/>
    <xf numFmtId="0" fontId="0" fillId="9" borderId="14" xfId="0" applyFill="1" applyBorder="1"/>
    <xf numFmtId="167" fontId="0" fillId="9" borderId="14" xfId="0" applyNumberFormat="1" applyFill="1" applyBorder="1" applyAlignment="1">
      <alignment horizontal="center"/>
    </xf>
    <xf numFmtId="0" fontId="0" fillId="9" borderId="15" xfId="0" applyFill="1" applyBorder="1"/>
    <xf numFmtId="167" fontId="0" fillId="9" borderId="15" xfId="0" applyNumberFormat="1" applyFill="1" applyBorder="1" applyAlignment="1">
      <alignment horizontal="center"/>
    </xf>
    <xf numFmtId="1" fontId="0" fillId="9" borderId="15" xfId="0" applyNumberFormat="1" applyFill="1" applyBorder="1" applyAlignment="1">
      <alignment horizontal="center"/>
    </xf>
    <xf numFmtId="1" fontId="0" fillId="9" borderId="14" xfId="0" applyNumberFormat="1" applyFill="1" applyBorder="1" applyAlignment="1">
      <alignment horizontal="center"/>
    </xf>
    <xf numFmtId="0" fontId="21" fillId="0" borderId="0" xfId="0" applyFont="1"/>
    <xf numFmtId="0" fontId="28" fillId="0" borderId="14" xfId="0" applyFont="1" applyBorder="1" applyAlignment="1">
      <alignment horizontal="left" vertical="top" wrapText="1"/>
    </xf>
    <xf numFmtId="168" fontId="28" fillId="0" borderId="14" xfId="0" applyNumberFormat="1" applyFont="1" applyBorder="1" applyAlignment="1">
      <alignment horizontal="center" vertical="top" wrapText="1"/>
    </xf>
    <xf numFmtId="168" fontId="0" fillId="0" borderId="0" xfId="0" applyNumberFormat="1"/>
    <xf numFmtId="2" fontId="0" fillId="9" borderId="14" xfId="0" applyNumberFormat="1" applyFill="1" applyBorder="1" applyAlignment="1">
      <alignment horizontal="center"/>
    </xf>
    <xf numFmtId="168" fontId="0" fillId="9" borderId="14" xfId="0" applyNumberFormat="1" applyFill="1" applyBorder="1" applyAlignment="1">
      <alignment horizontal="center"/>
    </xf>
    <xf numFmtId="0" fontId="1" fillId="8" borderId="3" xfId="0" applyFont="1" applyFill="1" applyBorder="1"/>
    <xf numFmtId="0" fontId="29" fillId="10" borderId="14" xfId="0" applyFont="1" applyFill="1" applyBorder="1"/>
    <xf numFmtId="0" fontId="29" fillId="0" borderId="14" xfId="0" applyFont="1" applyBorder="1" applyAlignment="1">
      <alignment horizontal="center" vertical="center" wrapText="1"/>
    </xf>
    <xf numFmtId="0" fontId="15" fillId="8" borderId="0" xfId="0" applyFont="1" applyFill="1" applyAlignment="1">
      <alignment horizontal="left" vertical="center"/>
    </xf>
    <xf numFmtId="0" fontId="17" fillId="8" borderId="2" xfId="0" applyFont="1" applyFill="1" applyBorder="1" applyAlignment="1">
      <alignment horizontal="left" vertical="center"/>
    </xf>
    <xf numFmtId="0" fontId="29" fillId="0" borderId="14" xfId="0" applyFont="1" applyBorder="1"/>
    <xf numFmtId="0" fontId="15" fillId="2" borderId="12" xfId="0" applyFont="1" applyFill="1" applyBorder="1" applyAlignment="1">
      <alignment horizontal="left" vertical="center"/>
    </xf>
    <xf numFmtId="0" fontId="15" fillId="2" borderId="13" xfId="0" applyFont="1" applyFill="1" applyBorder="1" applyAlignment="1">
      <alignment horizontal="left" vertical="center"/>
    </xf>
    <xf numFmtId="0" fontId="29" fillId="10" borderId="16" xfId="0" applyFont="1" applyFill="1" applyBorder="1"/>
    <xf numFmtId="0" fontId="15" fillId="2" borderId="17" xfId="0" applyFont="1" applyFill="1" applyBorder="1" applyAlignment="1">
      <alignment horizontal="left" vertical="center"/>
    </xf>
    <xf numFmtId="0" fontId="29" fillId="9" borderId="14" xfId="0" applyFont="1" applyFill="1" applyBorder="1" applyAlignment="1">
      <alignment horizontal="center" vertical="center" wrapText="1"/>
    </xf>
    <xf numFmtId="0" fontId="1" fillId="11" borderId="17" xfId="0" applyFont="1" applyFill="1" applyBorder="1"/>
    <xf numFmtId="0" fontId="0" fillId="12" borderId="0" xfId="0" applyFill="1"/>
    <xf numFmtId="0" fontId="30" fillId="0" borderId="2" xfId="0" applyFont="1" applyBorder="1" applyAlignment="1">
      <alignment horizontal="left" vertical="center"/>
    </xf>
    <xf numFmtId="0" fontId="29" fillId="0" borderId="0" xfId="0" applyFont="1"/>
    <xf numFmtId="0" fontId="29" fillId="0" borderId="0" xfId="0" applyFont="1" applyAlignment="1">
      <alignment horizontal="center"/>
    </xf>
    <xf numFmtId="0" fontId="31" fillId="0" borderId="0" xfId="0" applyFont="1"/>
    <xf numFmtId="0" fontId="13" fillId="13" borderId="14" xfId="0" applyFont="1" applyFill="1" applyBorder="1"/>
    <xf numFmtId="11" fontId="13" fillId="13" borderId="14" xfId="0" applyNumberFormat="1" applyFont="1" applyFill="1" applyBorder="1" applyAlignment="1">
      <alignment horizontal="center"/>
    </xf>
    <xf numFmtId="0" fontId="13" fillId="14" borderId="14" xfId="0" applyFont="1" applyFill="1" applyBorder="1"/>
    <xf numFmtId="0" fontId="13" fillId="14" borderId="14" xfId="0" applyFont="1" applyFill="1" applyBorder="1" applyAlignment="1">
      <alignment horizontal="center"/>
    </xf>
    <xf numFmtId="0" fontId="7" fillId="0" borderId="3" xfId="0" applyFont="1" applyBorder="1"/>
    <xf numFmtId="169" fontId="0" fillId="0" borderId="0" xfId="0" applyNumberFormat="1"/>
    <xf numFmtId="0" fontId="7" fillId="0" borderId="0" xfId="0" applyFont="1"/>
    <xf numFmtId="0" fontId="9" fillId="0" borderId="0" xfId="0" applyFont="1"/>
    <xf numFmtId="11" fontId="0" fillId="15" borderId="17" xfId="0" applyNumberFormat="1" applyFill="1" applyBorder="1"/>
    <xf numFmtId="11" fontId="13" fillId="0" borderId="14" xfId="0" applyNumberFormat="1" applyFont="1" applyBorder="1" applyAlignment="1">
      <alignment horizontal="center"/>
    </xf>
    <xf numFmtId="0" fontId="9" fillId="0" borderId="18" xfId="0" applyFont="1" applyBorder="1"/>
    <xf numFmtId="0" fontId="0" fillId="0" borderId="19" xfId="0" applyBorder="1"/>
    <xf numFmtId="0" fontId="0" fillId="0" borderId="20" xfId="0" applyBorder="1"/>
    <xf numFmtId="0" fontId="13" fillId="0" borderId="14" xfId="0" applyFont="1" applyBorder="1" applyAlignment="1">
      <alignment horizontal="center"/>
    </xf>
    <xf numFmtId="11" fontId="0" fillId="0" borderId="17" xfId="0" applyNumberFormat="1" applyBorder="1"/>
    <xf numFmtId="0" fontId="0" fillId="0" borderId="17" xfId="0" applyBorder="1"/>
    <xf numFmtId="0" fontId="13" fillId="13" borderId="14" xfId="0" applyFont="1" applyFill="1" applyBorder="1" applyAlignment="1">
      <alignment horizontal="center"/>
    </xf>
    <xf numFmtId="0" fontId="0" fillId="8" borderId="0" xfId="0" applyFill="1"/>
    <xf numFmtId="0" fontId="13" fillId="0" borderId="2" xfId="0" applyFont="1" applyBorder="1" applyAlignment="1">
      <alignment horizontal="center"/>
    </xf>
    <xf numFmtId="0" fontId="13" fillId="0" borderId="3" xfId="0" applyFont="1" applyBorder="1" applyAlignment="1">
      <alignment horizontal="left" vertical="center"/>
    </xf>
    <xf numFmtId="0" fontId="29" fillId="0" borderId="16" xfId="0" applyFont="1" applyBorder="1" applyAlignment="1">
      <alignment horizontal="center"/>
    </xf>
    <xf numFmtId="49" fontId="6" fillId="0" borderId="0" xfId="0" applyNumberFormat="1" applyFont="1" applyAlignment="1">
      <alignment horizontal="right" vertical="center"/>
    </xf>
    <xf numFmtId="49" fontId="6" fillId="0" borderId="0" xfId="0" applyNumberFormat="1" applyFont="1"/>
    <xf numFmtId="11" fontId="13" fillId="9" borderId="14" xfId="0" applyNumberFormat="1" applyFont="1" applyFill="1" applyBorder="1" applyAlignment="1">
      <alignment horizontal="center"/>
    </xf>
    <xf numFmtId="0" fontId="13" fillId="0" borderId="21" xfId="0" applyFont="1" applyBorder="1"/>
    <xf numFmtId="0" fontId="0" fillId="9" borderId="22" xfId="0" applyFill="1" applyBorder="1"/>
    <xf numFmtId="164" fontId="0" fillId="9" borderId="14" xfId="0" applyNumberFormat="1" applyFill="1" applyBorder="1" applyAlignment="1">
      <alignment horizontal="center"/>
    </xf>
    <xf numFmtId="164" fontId="0" fillId="0" borderId="0" xfId="0" applyNumberFormat="1" applyAlignment="1">
      <alignment horizontal="center"/>
    </xf>
    <xf numFmtId="165" fontId="0" fillId="0" borderId="0" xfId="0" applyNumberFormat="1"/>
    <xf numFmtId="0" fontId="0" fillId="9" borderId="23" xfId="0" applyFill="1" applyBorder="1"/>
    <xf numFmtId="0" fontId="29" fillId="10" borderId="14" xfId="0" applyFont="1" applyFill="1" applyBorder="1" applyAlignment="1">
      <alignment horizontal="center"/>
    </xf>
    <xf numFmtId="0" fontId="13" fillId="16" borderId="14" xfId="0" applyFont="1" applyFill="1" applyBorder="1" applyAlignment="1">
      <alignment horizontal="center"/>
    </xf>
    <xf numFmtId="11" fontId="29" fillId="0" borderId="16" xfId="0" applyNumberFormat="1" applyFont="1" applyBorder="1" applyAlignment="1">
      <alignment horizontal="center"/>
    </xf>
    <xf numFmtId="0" fontId="27" fillId="0" borderId="2" xfId="0" applyFont="1" applyBorder="1"/>
    <xf numFmtId="165" fontId="13" fillId="0" borderId="0" xfId="0" applyNumberFormat="1" applyFont="1" applyAlignment="1">
      <alignment horizontal="right" vertical="center" wrapText="1"/>
    </xf>
    <xf numFmtId="0" fontId="29" fillId="0" borderId="14" xfId="0" applyFont="1" applyBorder="1" applyAlignment="1">
      <alignment horizontal="left" vertical="top" wrapText="1"/>
    </xf>
    <xf numFmtId="11" fontId="29" fillId="0" borderId="14" xfId="0" applyNumberFormat="1" applyFont="1" applyBorder="1" applyAlignment="1">
      <alignment horizontal="center" vertical="top" wrapText="1"/>
    </xf>
    <xf numFmtId="11" fontId="29" fillId="10" borderId="14" xfId="0" applyNumberFormat="1" applyFont="1" applyFill="1" applyBorder="1" applyAlignment="1">
      <alignment horizontal="center"/>
    </xf>
    <xf numFmtId="0" fontId="13" fillId="14" borderId="24" xfId="0" applyFont="1" applyFill="1" applyBorder="1"/>
    <xf numFmtId="11" fontId="29" fillId="0" borderId="17" xfId="0" applyNumberFormat="1" applyFont="1" applyBorder="1" applyAlignment="1">
      <alignment horizontal="center"/>
    </xf>
    <xf numFmtId="11" fontId="29" fillId="0" borderId="22" xfId="0" applyNumberFormat="1" applyFont="1" applyBorder="1" applyAlignment="1">
      <alignment horizontal="center" vertical="center" wrapText="1"/>
    </xf>
    <xf numFmtId="0" fontId="13" fillId="0" borderId="14" xfId="0" applyFont="1" applyBorder="1"/>
    <xf numFmtId="170" fontId="0" fillId="0" borderId="0" xfId="29" applyNumberFormat="1" applyFont="1"/>
    <xf numFmtId="11" fontId="29" fillId="0" borderId="14" xfId="0" applyNumberFormat="1" applyFont="1" applyBorder="1" applyAlignment="1">
      <alignment horizontal="center" vertical="center" wrapText="1"/>
    </xf>
    <xf numFmtId="11" fontId="13" fillId="14" borderId="14" xfId="0" applyNumberFormat="1" applyFont="1" applyFill="1" applyBorder="1" applyAlignment="1">
      <alignment horizontal="center"/>
    </xf>
    <xf numFmtId="0" fontId="32" fillId="0" borderId="0" xfId="0" applyFont="1"/>
    <xf numFmtId="0" fontId="13" fillId="17" borderId="0" xfId="0" applyFont="1" applyFill="1"/>
    <xf numFmtId="0" fontId="13" fillId="0" borderId="0" xfId="0" applyFont="1" applyAlignment="1">
      <alignment horizontal="right"/>
    </xf>
    <xf numFmtId="0" fontId="33" fillId="0" borderId="0" xfId="0" applyFont="1" applyAlignment="1">
      <alignment horizontal="left" vertical="center"/>
    </xf>
    <xf numFmtId="0" fontId="34" fillId="18" borderId="3" xfId="0" applyFont="1" applyFill="1" applyBorder="1"/>
    <xf numFmtId="0" fontId="34" fillId="0" borderId="0" xfId="0" applyFont="1"/>
    <xf numFmtId="0" fontId="6" fillId="19" borderId="0" xfId="0" applyFont="1" applyFill="1"/>
    <xf numFmtId="0" fontId="0" fillId="19" borderId="0" xfId="0" applyFill="1"/>
    <xf numFmtId="0" fontId="0" fillId="20" borderId="0" xfId="0" applyFill="1"/>
    <xf numFmtId="0" fontId="9" fillId="21" borderId="2" xfId="0" applyFont="1" applyFill="1" applyBorder="1"/>
    <xf numFmtId="0" fontId="6" fillId="0" borderId="2" xfId="0" applyFont="1" applyBorder="1"/>
    <xf numFmtId="0" fontId="6" fillId="3" borderId="0" xfId="0" applyFont="1" applyFill="1"/>
    <xf numFmtId="0" fontId="6" fillId="0" borderId="0" xfId="0" applyFont="1" applyAlignment="1">
      <alignment horizontal="right" vertical="center"/>
    </xf>
    <xf numFmtId="0" fontId="35" fillId="0" borderId="0" xfId="0" applyFont="1"/>
    <xf numFmtId="0" fontId="32" fillId="0" borderId="0" xfId="0" applyFont="1" applyAlignment="1">
      <alignment vertical="center"/>
    </xf>
    <xf numFmtId="0" fontId="21" fillId="0" borderId="0" xfId="0" applyFont="1" applyAlignment="1">
      <alignment horizontal="right" vertical="center"/>
    </xf>
    <xf numFmtId="0" fontId="36" fillId="0" borderId="0" xfId="0" applyFont="1"/>
    <xf numFmtId="0" fontId="0" fillId="22" borderId="0" xfId="0" applyFill="1"/>
    <xf numFmtId="0" fontId="27" fillId="23" borderId="25" xfId="0" applyFont="1" applyFill="1" applyBorder="1" applyAlignment="1">
      <alignment horizontal="center" vertical="center"/>
    </xf>
    <xf numFmtId="0" fontId="37" fillId="0" borderId="0" xfId="0" applyFont="1" applyAlignment="1">
      <alignment horizontal="left" vertical="center"/>
    </xf>
    <xf numFmtId="0" fontId="13" fillId="0" borderId="0" xfId="0" applyFont="1" applyAlignment="1">
      <alignment horizontal="right" vertical="center"/>
    </xf>
    <xf numFmtId="167" fontId="0" fillId="0" borderId="0" xfId="0" applyNumberFormat="1" applyAlignment="1">
      <alignment horizontal="right" vertical="center"/>
    </xf>
    <xf numFmtId="0" fontId="0" fillId="0" borderId="0" xfId="0" applyAlignment="1">
      <alignment horizontal="right" vertical="center"/>
    </xf>
    <xf numFmtId="167" fontId="6" fillId="0" borderId="0" xfId="0" applyNumberFormat="1" applyFont="1" applyAlignment="1">
      <alignment horizontal="right" vertical="center"/>
    </xf>
    <xf numFmtId="167" fontId="6" fillId="0" borderId="0" xfId="0" applyNumberFormat="1" applyFont="1"/>
    <xf numFmtId="0" fontId="21" fillId="0" borderId="0" xfId="0" applyFont="1" applyAlignment="1">
      <alignment vertical="center"/>
    </xf>
    <xf numFmtId="167" fontId="6" fillId="0" borderId="0" xfId="0" applyNumberFormat="1" applyFont="1" applyAlignment="1">
      <alignment vertical="center"/>
    </xf>
    <xf numFmtId="0" fontId="0" fillId="0" borderId="0" xfId="0" quotePrefix="1"/>
    <xf numFmtId="167" fontId="0" fillId="0" borderId="0" xfId="0" applyNumberFormat="1"/>
    <xf numFmtId="0" fontId="0" fillId="20" borderId="0" xfId="0" applyFill="1" applyAlignment="1">
      <alignment horizontal="left" vertical="center"/>
    </xf>
    <xf numFmtId="0" fontId="0" fillId="19" borderId="1" xfId="0" applyFill="1" applyBorder="1" applyAlignment="1">
      <alignment horizontal="left" vertical="center"/>
    </xf>
    <xf numFmtId="0" fontId="0" fillId="19" borderId="2" xfId="0" applyFill="1" applyBorder="1"/>
    <xf numFmtId="0" fontId="6" fillId="0" borderId="7" xfId="0" applyFont="1" applyBorder="1"/>
    <xf numFmtId="0" fontId="0" fillId="19" borderId="9" xfId="0" applyFill="1" applyBorder="1" applyAlignment="1">
      <alignment horizontal="left" vertical="center"/>
    </xf>
    <xf numFmtId="0" fontId="0" fillId="19" borderId="10" xfId="0" applyFill="1" applyBorder="1"/>
    <xf numFmtId="0" fontId="6" fillId="0" borderId="11" xfId="0" applyFont="1" applyBorder="1"/>
    <xf numFmtId="0" fontId="0" fillId="19" borderId="3" xfId="0" applyFill="1" applyBorder="1" applyAlignment="1">
      <alignment horizontal="left" vertical="center"/>
    </xf>
    <xf numFmtId="0" fontId="6" fillId="0" borderId="8" xfId="0" applyFont="1" applyBorder="1"/>
    <xf numFmtId="0" fontId="0" fillId="0" borderId="0" xfId="0" applyAlignment="1">
      <alignment horizontal="right"/>
    </xf>
    <xf numFmtId="164" fontId="0" fillId="20" borderId="0" xfId="0" applyNumberFormat="1" applyFill="1" applyAlignment="1">
      <alignment horizontal="right"/>
    </xf>
    <xf numFmtId="0" fontId="0" fillId="20" borderId="0" xfId="0" applyFill="1" applyAlignment="1">
      <alignment horizontal="right"/>
    </xf>
    <xf numFmtId="0" fontId="13" fillId="24" borderId="18" xfId="0" applyFont="1" applyFill="1" applyBorder="1"/>
    <xf numFmtId="0" fontId="6" fillId="19" borderId="19" xfId="0" applyFont="1" applyFill="1" applyBorder="1" applyAlignment="1">
      <alignment horizontal="right"/>
    </xf>
    <xf numFmtId="0" fontId="6" fillId="19" borderId="19" xfId="0" applyFont="1" applyFill="1" applyBorder="1"/>
    <xf numFmtId="0" fontId="6" fillId="0" borderId="20" xfId="0" applyFont="1" applyBorder="1"/>
    <xf numFmtId="0" fontId="6" fillId="19" borderId="2" xfId="0" applyFont="1" applyFill="1" applyBorder="1" applyAlignment="1">
      <alignment horizontal="right"/>
    </xf>
    <xf numFmtId="0" fontId="6" fillId="19" borderId="2" xfId="0" applyFont="1" applyFill="1" applyBorder="1"/>
    <xf numFmtId="0" fontId="6" fillId="19" borderId="10" xfId="0" applyFont="1" applyFill="1" applyBorder="1" applyAlignment="1">
      <alignment horizontal="right"/>
    </xf>
    <xf numFmtId="0" fontId="6" fillId="19" borderId="10" xfId="0" applyFont="1" applyFill="1" applyBorder="1"/>
    <xf numFmtId="0" fontId="6" fillId="19" borderId="0" xfId="0" applyFont="1" applyFill="1" applyAlignment="1">
      <alignment horizontal="right"/>
    </xf>
    <xf numFmtId="0" fontId="0" fillId="19" borderId="10" xfId="0" applyFill="1" applyBorder="1" applyAlignment="1">
      <alignment horizontal="right"/>
    </xf>
    <xf numFmtId="0" fontId="6" fillId="0" borderId="0" xfId="0" applyFont="1" applyAlignment="1">
      <alignment horizontal="right"/>
    </xf>
    <xf numFmtId="0" fontId="6" fillId="19" borderId="19" xfId="0" applyFont="1" applyFill="1" applyBorder="1" applyAlignment="1">
      <alignment horizontal="right" vertical="center"/>
    </xf>
    <xf numFmtId="0" fontId="0" fillId="19" borderId="2" xfId="0" applyFill="1" applyBorder="1" applyAlignment="1">
      <alignment horizontal="right" vertical="center"/>
    </xf>
    <xf numFmtId="0" fontId="0" fillId="19" borderId="0" xfId="0" applyFill="1" applyAlignment="1">
      <alignment horizontal="right" vertical="center"/>
    </xf>
    <xf numFmtId="0" fontId="0" fillId="19" borderId="10" xfId="0" applyFill="1" applyBorder="1" applyAlignment="1">
      <alignment horizontal="right" vertical="center"/>
    </xf>
    <xf numFmtId="49" fontId="0" fillId="0" borderId="0" xfId="0" applyNumberFormat="1"/>
    <xf numFmtId="0" fontId="0" fillId="0" borderId="10" xfId="0" applyBorder="1" applyAlignment="1">
      <alignment horizontal="left" vertical="center"/>
    </xf>
    <xf numFmtId="0" fontId="0" fillId="0" borderId="10" xfId="0" applyBorder="1"/>
    <xf numFmtId="0" fontId="15" fillId="0" borderId="10" xfId="0" applyFont="1" applyBorder="1" applyAlignment="1">
      <alignment horizontal="left" vertical="center"/>
    </xf>
    <xf numFmtId="0" fontId="0" fillId="20" borderId="10" xfId="0" applyFill="1" applyBorder="1"/>
    <xf numFmtId="0" fontId="6" fillId="0" borderId="10" xfId="0" applyFont="1" applyBorder="1"/>
    <xf numFmtId="49" fontId="13" fillId="0" borderId="0" xfId="0" applyNumberFormat="1" applyFont="1"/>
    <xf numFmtId="49" fontId="0" fillId="0" borderId="0" xfId="0" applyNumberFormat="1" applyAlignment="1">
      <alignment horizontal="right" vertical="center"/>
    </xf>
    <xf numFmtId="49" fontId="21"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9" fillId="25" borderId="26" xfId="0" applyFont="1" applyFill="1" applyBorder="1"/>
    <xf numFmtId="0" fontId="9" fillId="25" borderId="27" xfId="0" applyFont="1" applyFill="1" applyBorder="1"/>
    <xf numFmtId="0" fontId="0" fillId="25" borderId="27" xfId="0" applyFill="1" applyBorder="1"/>
    <xf numFmtId="0" fontId="0" fillId="25" borderId="6" xfId="0" applyFill="1" applyBorder="1"/>
    <xf numFmtId="0" fontId="0" fillId="0" borderId="28" xfId="0" applyBorder="1"/>
    <xf numFmtId="0" fontId="9" fillId="0" borderId="28" xfId="0" applyFont="1" applyBorder="1"/>
    <xf numFmtId="0" fontId="9" fillId="0" borderId="4" xfId="0" applyFont="1" applyBorder="1"/>
    <xf numFmtId="164" fontId="0" fillId="6" borderId="0" xfId="0" applyNumberFormat="1" applyFill="1"/>
    <xf numFmtId="2" fontId="0" fillId="6" borderId="0" xfId="0" applyNumberFormat="1" applyFill="1"/>
    <xf numFmtId="164" fontId="2" fillId="6" borderId="0" xfId="0" applyNumberFormat="1" applyFont="1" applyFill="1"/>
    <xf numFmtId="2" fontId="2" fillId="6" borderId="0" xfId="0" applyNumberFormat="1" applyFont="1" applyFill="1"/>
    <xf numFmtId="164" fontId="1" fillId="6" borderId="0" xfId="0" applyNumberFormat="1" applyFont="1" applyFill="1"/>
    <xf numFmtId="2" fontId="1" fillId="6" borderId="0" xfId="0" applyNumberFormat="1" applyFont="1" applyFill="1"/>
    <xf numFmtId="164" fontId="13" fillId="26" borderId="8" xfId="0" applyNumberFormat="1" applyFont="1" applyFill="1" applyBorder="1" applyAlignment="1">
      <alignment vertical="center"/>
    </xf>
    <xf numFmtId="0" fontId="22" fillId="6" borderId="0" xfId="0" applyFont="1" applyFill="1" applyAlignment="1">
      <alignment vertical="center"/>
    </xf>
    <xf numFmtId="0" fontId="13" fillId="26" borderId="0" xfId="0" applyFont="1" applyFill="1" applyAlignment="1">
      <alignment horizontal="right" vertical="center"/>
    </xf>
    <xf numFmtId="0" fontId="2" fillId="12" borderId="2" xfId="0" applyFont="1" applyFill="1" applyBorder="1"/>
    <xf numFmtId="164" fontId="2" fillId="6" borderId="2" xfId="0" applyNumberFormat="1" applyFont="1" applyFill="1" applyBorder="1"/>
    <xf numFmtId="2" fontId="0" fillId="6" borderId="2" xfId="0" applyNumberFormat="1" applyFill="1" applyBorder="1"/>
    <xf numFmtId="164" fontId="1" fillId="6" borderId="10" xfId="0" applyNumberFormat="1" applyFont="1" applyFill="1" applyBorder="1"/>
    <xf numFmtId="0" fontId="2" fillId="27" borderId="0" xfId="0" applyFont="1" applyFill="1"/>
    <xf numFmtId="0" fontId="13" fillId="6" borderId="0" xfId="0" applyFont="1" applyFill="1" applyAlignment="1">
      <alignment vertical="center"/>
    </xf>
    <xf numFmtId="1" fontId="1" fillId="6" borderId="0" xfId="0" applyNumberFormat="1" applyFont="1" applyFill="1"/>
    <xf numFmtId="0" fontId="0" fillId="6" borderId="0" xfId="0" applyFill="1" applyAlignment="1">
      <alignment wrapText="1"/>
    </xf>
    <xf numFmtId="2" fontId="0" fillId="28" borderId="0" xfId="0" applyNumberFormat="1" applyFill="1"/>
    <xf numFmtId="0" fontId="13" fillId="6" borderId="0" xfId="0" applyFont="1" applyFill="1"/>
    <xf numFmtId="167" fontId="0" fillId="6" borderId="0" xfId="0" applyNumberFormat="1" applyFill="1"/>
    <xf numFmtId="11" fontId="0" fillId="6" borderId="0" xfId="0" applyNumberFormat="1" applyFill="1"/>
    <xf numFmtId="0" fontId="0" fillId="6" borderId="0" xfId="0" applyFill="1" applyAlignment="1">
      <alignment vertical="center"/>
    </xf>
    <xf numFmtId="0" fontId="13" fillId="29" borderId="0" xfId="0" applyFont="1" applyFill="1"/>
    <xf numFmtId="0" fontId="2" fillId="28" borderId="2" xfId="0" applyFont="1" applyFill="1" applyBorder="1"/>
    <xf numFmtId="0" fontId="13" fillId="6" borderId="0" xfId="0" applyFont="1" applyFill="1" applyAlignment="1">
      <alignment wrapText="1"/>
    </xf>
    <xf numFmtId="3" fontId="0" fillId="6" borderId="0" xfId="0" applyNumberFormat="1" applyFill="1"/>
    <xf numFmtId="0" fontId="1" fillId="6" borderId="0" xfId="0" applyFont="1" applyFill="1" applyAlignment="1">
      <alignment vertical="center"/>
    </xf>
    <xf numFmtId="0" fontId="0" fillId="30" borderId="0" xfId="0" applyFill="1" applyAlignment="1">
      <alignment horizontal="center" vertical="center"/>
    </xf>
    <xf numFmtId="165" fontId="0" fillId="6" borderId="0" xfId="0" applyNumberFormat="1" applyFill="1"/>
    <xf numFmtId="0" fontId="9" fillId="0" borderId="1" xfId="0" applyFont="1" applyBorder="1"/>
    <xf numFmtId="0" fontId="0" fillId="3" borderId="0" xfId="0" applyFill="1"/>
    <xf numFmtId="0" fontId="9" fillId="0" borderId="3" xfId="0" applyFont="1" applyBorder="1"/>
    <xf numFmtId="0" fontId="0" fillId="31" borderId="3" xfId="0" applyFill="1" applyBorder="1"/>
    <xf numFmtId="0" fontId="0" fillId="31" borderId="0" xfId="0" applyFill="1"/>
    <xf numFmtId="0" fontId="9" fillId="30" borderId="0" xfId="0" applyFont="1" applyFill="1"/>
    <xf numFmtId="0" fontId="9" fillId="31" borderId="0" xfId="0" applyFont="1" applyFill="1"/>
    <xf numFmtId="0" fontId="9" fillId="31" borderId="12" xfId="0" applyFont="1" applyFill="1" applyBorder="1"/>
    <xf numFmtId="0" fontId="0" fillId="30" borderId="0" xfId="0" applyFill="1"/>
    <xf numFmtId="0" fontId="0" fillId="0" borderId="29" xfId="0" applyBorder="1"/>
    <xf numFmtId="0" fontId="0" fillId="30" borderId="0" xfId="0" applyFill="1" applyAlignment="1">
      <alignment vertical="center"/>
    </xf>
    <xf numFmtId="0" fontId="0" fillId="0" borderId="0" xfId="0" applyAlignment="1">
      <alignment vertical="top" wrapText="1"/>
    </xf>
    <xf numFmtId="0" fontId="0" fillId="0" borderId="0" xfId="0" applyAlignment="1">
      <alignment horizontal="center" vertical="center"/>
    </xf>
    <xf numFmtId="0" fontId="0" fillId="0" borderId="0" xfId="0" quotePrefix="1" applyAlignment="1">
      <alignment horizontal="center" vertical="center"/>
    </xf>
    <xf numFmtId="0" fontId="0" fillId="0" borderId="13" xfId="0" applyBorder="1"/>
    <xf numFmtId="0" fontId="38" fillId="0" borderId="0" xfId="0" applyFont="1"/>
    <xf numFmtId="0" fontId="6" fillId="25" borderId="0" xfId="0" applyFont="1" applyFill="1" applyAlignment="1">
      <alignment vertical="center"/>
    </xf>
    <xf numFmtId="0" fontId="0" fillId="25" borderId="0" xfId="0" applyFill="1"/>
    <xf numFmtId="0" fontId="0" fillId="25" borderId="29" xfId="0" applyFill="1" applyBorder="1"/>
    <xf numFmtId="0" fontId="15" fillId="25" borderId="0" xfId="0" applyFont="1" applyFill="1" applyAlignment="1">
      <alignment horizontal="left" vertical="center"/>
    </xf>
    <xf numFmtId="165" fontId="0" fillId="0" borderId="0" xfId="0" applyNumberFormat="1" applyAlignment="1">
      <alignment horizontal="right" vertical="center"/>
    </xf>
    <xf numFmtId="0" fontId="39" fillId="0" borderId="0" xfId="0" applyFont="1"/>
    <xf numFmtId="0" fontId="6" fillId="0" borderId="8" xfId="0" applyFont="1" applyBorder="1" applyAlignment="1">
      <alignment vertical="center"/>
    </xf>
    <xf numFmtId="164" fontId="0" fillId="0" borderId="0" xfId="0" applyNumberFormat="1" applyAlignment="1">
      <alignment horizontal="center" vertical="center"/>
    </xf>
    <xf numFmtId="0" fontId="40" fillId="0" borderId="0" xfId="0" applyFont="1" applyAlignment="1">
      <alignment vertical="top" wrapText="1" indent="1"/>
    </xf>
    <xf numFmtId="0" fontId="13" fillId="32" borderId="0" xfId="0" applyFont="1" applyFill="1" applyAlignment="1">
      <alignment horizontal="center" vertical="center"/>
    </xf>
    <xf numFmtId="0" fontId="13" fillId="0" borderId="0" xfId="0" applyFont="1" applyAlignment="1">
      <alignment horizontal="left" vertical="center"/>
    </xf>
    <xf numFmtId="0" fontId="41" fillId="0" borderId="0" xfId="0" applyFont="1"/>
    <xf numFmtId="0" fontId="9" fillId="0" borderId="0" xfId="0" applyFont="1" applyAlignment="1">
      <alignment horizontal="center"/>
    </xf>
    <xf numFmtId="0" fontId="6" fillId="32" borderId="0" xfId="0" applyFont="1" applyFill="1" applyAlignment="1">
      <alignment horizontal="center" vertical="center"/>
    </xf>
    <xf numFmtId="0" fontId="6" fillId="32" borderId="0" xfId="0" applyFont="1" applyFill="1" applyAlignment="1">
      <alignment vertical="center"/>
    </xf>
    <xf numFmtId="0" fontId="0" fillId="0" borderId="8" xfId="0" applyBorder="1"/>
    <xf numFmtId="0" fontId="13" fillId="32" borderId="0" xfId="0" applyFont="1" applyFill="1" applyAlignment="1">
      <alignment vertical="center"/>
    </xf>
    <xf numFmtId="0" fontId="0" fillId="0" borderId="0" xfId="0" applyAlignment="1">
      <alignment vertical="top"/>
    </xf>
    <xf numFmtId="0" fontId="8" fillId="0" borderId="10" xfId="0" applyFont="1" applyBorder="1"/>
    <xf numFmtId="0" fontId="20" fillId="0" borderId="3" xfId="0" applyFont="1" applyBorder="1"/>
    <xf numFmtId="0" fontId="20" fillId="0" borderId="0" xfId="0" applyFont="1"/>
    <xf numFmtId="0" fontId="11" fillId="0" borderId="0" xfId="0" applyFont="1"/>
    <xf numFmtId="0" fontId="8" fillId="0" borderId="3" xfId="0" applyFont="1" applyBorder="1"/>
    <xf numFmtId="0" fontId="8" fillId="0" borderId="0" xfId="0" applyFont="1" applyAlignment="1">
      <alignment wrapText="1"/>
    </xf>
    <xf numFmtId="0" fontId="8" fillId="31" borderId="0" xfId="0" applyFont="1" applyFill="1"/>
    <xf numFmtId="0" fontId="8" fillId="0" borderId="30" xfId="0" applyFont="1" applyBorder="1"/>
    <xf numFmtId="164" fontId="8" fillId="0" borderId="0" xfId="0" applyNumberFormat="1" applyFont="1"/>
    <xf numFmtId="0" fontId="8" fillId="0" borderId="1" xfId="0" applyFont="1" applyBorder="1"/>
    <xf numFmtId="0" fontId="18" fillId="0" borderId="2" xfId="0" applyFont="1" applyBorder="1" applyAlignment="1">
      <alignment vertical="center"/>
    </xf>
    <xf numFmtId="0" fontId="8" fillId="0" borderId="2" xfId="0" applyFont="1" applyBorder="1"/>
    <xf numFmtId="0" fontId="18" fillId="0" borderId="0" xfId="0" applyFont="1" applyAlignment="1">
      <alignment vertical="center"/>
    </xf>
    <xf numFmtId="0" fontId="8" fillId="25" borderId="1" xfId="0" applyFont="1" applyFill="1" applyBorder="1"/>
    <xf numFmtId="2" fontId="8" fillId="0" borderId="2" xfId="0" applyNumberFormat="1" applyFont="1" applyBorder="1"/>
    <xf numFmtId="0" fontId="17" fillId="25" borderId="3" xfId="0" applyFont="1" applyFill="1" applyBorder="1" applyAlignment="1">
      <alignment horizontal="left" vertical="center"/>
    </xf>
    <xf numFmtId="2" fontId="8" fillId="0" borderId="0" xfId="0" applyNumberFormat="1" applyFont="1"/>
    <xf numFmtId="0" fontId="17" fillId="25" borderId="9" xfId="0" applyFont="1" applyFill="1" applyBorder="1" applyAlignment="1">
      <alignment horizontal="left" vertical="center"/>
    </xf>
    <xf numFmtId="0" fontId="8" fillId="25" borderId="2" xfId="0" applyFont="1" applyFill="1" applyBorder="1"/>
    <xf numFmtId="0" fontId="8" fillId="25" borderId="0" xfId="0" applyFont="1" applyFill="1" applyAlignment="1">
      <alignment horizontal="left" vertical="center"/>
    </xf>
    <xf numFmtId="0" fontId="8" fillId="25" borderId="3" xfId="0" applyFont="1" applyFill="1" applyBorder="1" applyAlignment="1">
      <alignment horizontal="left" vertical="center"/>
    </xf>
    <xf numFmtId="0" fontId="15" fillId="4" borderId="31" xfId="0" applyFont="1" applyFill="1" applyBorder="1" applyAlignment="1">
      <alignment horizontal="left" vertical="center"/>
    </xf>
    <xf numFmtId="0" fontId="8" fillId="0" borderId="31" xfId="0" applyFont="1" applyBorder="1"/>
    <xf numFmtId="0" fontId="8" fillId="0" borderId="30" xfId="0" applyFont="1" applyBorder="1" applyAlignment="1">
      <alignment horizontal="left" vertical="center"/>
    </xf>
    <xf numFmtId="0" fontId="8" fillId="0" borderId="2" xfId="0" applyFont="1" applyBorder="1" applyAlignment="1">
      <alignment horizontal="left" vertical="center"/>
    </xf>
    <xf numFmtId="0" fontId="8" fillId="25" borderId="3" xfId="0" applyFont="1" applyFill="1" applyBorder="1"/>
    <xf numFmtId="0" fontId="8" fillId="25" borderId="9" xfId="0" applyFont="1" applyFill="1" applyBorder="1"/>
    <xf numFmtId="0" fontId="8" fillId="0" borderId="32" xfId="0" applyFont="1" applyBorder="1"/>
    <xf numFmtId="0" fontId="20" fillId="0" borderId="1" xfId="0" applyFont="1" applyBorder="1"/>
    <xf numFmtId="0" fontId="20" fillId="0" borderId="2" xfId="0" applyFont="1" applyBorder="1"/>
    <xf numFmtId="0" fontId="11" fillId="0" borderId="2" xfId="0" applyFont="1" applyBorder="1"/>
    <xf numFmtId="0" fontId="18" fillId="27" borderId="8" xfId="0" applyFont="1" applyFill="1" applyBorder="1" applyAlignment="1">
      <alignment vertical="center"/>
    </xf>
    <xf numFmtId="0" fontId="8" fillId="27" borderId="0" xfId="0" applyFont="1" applyFill="1"/>
    <xf numFmtId="0" fontId="8" fillId="12" borderId="0" xfId="0" applyFont="1" applyFill="1"/>
    <xf numFmtId="0" fontId="8" fillId="33" borderId="0" xfId="0" applyFont="1" applyFill="1"/>
    <xf numFmtId="0" fontId="8" fillId="5" borderId="0" xfId="0" applyFont="1" applyFill="1"/>
    <xf numFmtId="0" fontId="8" fillId="34" borderId="0" xfId="0" applyFont="1" applyFill="1"/>
    <xf numFmtId="0" fontId="42" fillId="0" borderId="0" xfId="0" applyFont="1" applyAlignment="1">
      <alignment vertical="center"/>
    </xf>
    <xf numFmtId="0" fontId="13" fillId="0" borderId="0" xfId="0" applyFont="1" applyAlignment="1">
      <alignment vertical="center"/>
    </xf>
    <xf numFmtId="0" fontId="43" fillId="0" borderId="0" xfId="0" applyFont="1"/>
    <xf numFmtId="0" fontId="44" fillId="0" borderId="0" xfId="0" applyFont="1"/>
    <xf numFmtId="0" fontId="8" fillId="9" borderId="14" xfId="0" applyFont="1" applyFill="1" applyBorder="1"/>
    <xf numFmtId="167" fontId="8" fillId="9" borderId="14" xfId="0" applyNumberFormat="1" applyFont="1" applyFill="1" applyBorder="1" applyAlignment="1">
      <alignment horizontal="center"/>
    </xf>
    <xf numFmtId="0" fontId="8" fillId="9" borderId="15" xfId="0" applyFont="1" applyFill="1" applyBorder="1"/>
    <xf numFmtId="167" fontId="8" fillId="9" borderId="15" xfId="0" applyNumberFormat="1" applyFont="1" applyFill="1" applyBorder="1" applyAlignment="1">
      <alignment horizontal="center"/>
    </xf>
    <xf numFmtId="1" fontId="8" fillId="9" borderId="15" xfId="0" applyNumberFormat="1" applyFont="1" applyFill="1" applyBorder="1" applyAlignment="1">
      <alignment horizontal="center"/>
    </xf>
    <xf numFmtId="1" fontId="8" fillId="9" borderId="14" xfId="0" applyNumberFormat="1" applyFont="1" applyFill="1" applyBorder="1" applyAlignment="1">
      <alignment horizontal="center"/>
    </xf>
    <xf numFmtId="0" fontId="45" fillId="0" borderId="0" xfId="0" applyFont="1"/>
    <xf numFmtId="0" fontId="46" fillId="0" borderId="14" xfId="0" applyFont="1" applyBorder="1" applyAlignment="1">
      <alignment horizontal="left" vertical="top" wrapText="1"/>
    </xf>
    <xf numFmtId="168" fontId="46" fillId="0" borderId="14" xfId="0" applyNumberFormat="1" applyFont="1" applyBorder="1" applyAlignment="1">
      <alignment horizontal="center" vertical="top" wrapText="1"/>
    </xf>
    <xf numFmtId="168" fontId="8" fillId="0" borderId="0" xfId="0" applyNumberFormat="1" applyFont="1"/>
    <xf numFmtId="2" fontId="8" fillId="9" borderId="14" xfId="0" applyNumberFormat="1" applyFont="1" applyFill="1" applyBorder="1" applyAlignment="1">
      <alignment horizontal="center"/>
    </xf>
    <xf numFmtId="168" fontId="8" fillId="9" borderId="14" xfId="0" applyNumberFormat="1" applyFont="1" applyFill="1" applyBorder="1" applyAlignment="1">
      <alignment horizontal="center"/>
    </xf>
    <xf numFmtId="0" fontId="8" fillId="8" borderId="3" xfId="0" applyFont="1" applyFill="1" applyBorder="1"/>
    <xf numFmtId="0" fontId="47" fillId="10" borderId="14" xfId="0" applyFont="1" applyFill="1" applyBorder="1"/>
    <xf numFmtId="0" fontId="47" fillId="0" borderId="14" xfId="0" applyFont="1" applyBorder="1" applyAlignment="1">
      <alignment horizontal="center" vertical="center" wrapText="1"/>
    </xf>
    <xf numFmtId="0" fontId="8" fillId="8" borderId="0" xfId="0" applyFont="1" applyFill="1" applyAlignment="1">
      <alignment horizontal="left" vertical="center"/>
    </xf>
    <xf numFmtId="0" fontId="8" fillId="8" borderId="2" xfId="0" applyFont="1" applyFill="1" applyBorder="1" applyAlignment="1">
      <alignment horizontal="left" vertical="center"/>
    </xf>
    <xf numFmtId="0" fontId="47" fillId="10" borderId="16" xfId="0" applyFont="1" applyFill="1" applyBorder="1"/>
    <xf numFmtId="0" fontId="18" fillId="9" borderId="14" xfId="0" applyFont="1" applyFill="1" applyBorder="1"/>
    <xf numFmtId="0" fontId="47" fillId="9" borderId="14" xfId="0" applyFont="1" applyFill="1" applyBorder="1" applyAlignment="1">
      <alignment horizontal="center" vertical="center" wrapText="1"/>
    </xf>
    <xf numFmtId="0" fontId="8" fillId="2" borderId="3" xfId="0" applyFont="1" applyFill="1" applyBorder="1"/>
    <xf numFmtId="0" fontId="48" fillId="0" borderId="1" xfId="0" applyFont="1" applyBorder="1"/>
    <xf numFmtId="0" fontId="20" fillId="0" borderId="2" xfId="0" applyFont="1" applyBorder="1" applyAlignment="1">
      <alignment horizontal="left" vertical="center"/>
    </xf>
    <xf numFmtId="0" fontId="43" fillId="0" borderId="3" xfId="0" applyFont="1" applyBorder="1"/>
    <xf numFmtId="0" fontId="48" fillId="0" borderId="3" xfId="0" applyFont="1" applyBorder="1"/>
    <xf numFmtId="0" fontId="8" fillId="8" borderId="0" xfId="0" applyFont="1" applyFill="1"/>
    <xf numFmtId="0" fontId="47" fillId="0" borderId="0" xfId="0" applyFont="1"/>
    <xf numFmtId="0" fontId="47" fillId="0" borderId="0" xfId="0" applyFont="1" applyAlignment="1">
      <alignment horizontal="center"/>
    </xf>
    <xf numFmtId="0" fontId="45" fillId="5" borderId="0" xfId="0" applyFont="1" applyFill="1"/>
    <xf numFmtId="0" fontId="43" fillId="0" borderId="0" xfId="0" applyFont="1" applyAlignment="1">
      <alignment horizontal="left" vertical="center"/>
    </xf>
    <xf numFmtId="0" fontId="49" fillId="0" borderId="0" xfId="0" applyFont="1"/>
    <xf numFmtId="0" fontId="18" fillId="9" borderId="14" xfId="0" applyFont="1" applyFill="1" applyBorder="1" applyAlignment="1">
      <alignment horizontal="center"/>
    </xf>
    <xf numFmtId="11" fontId="8" fillId="0" borderId="0" xfId="0" applyNumberFormat="1" applyFont="1"/>
    <xf numFmtId="0" fontId="18" fillId="13" borderId="14" xfId="0" applyFont="1" applyFill="1" applyBorder="1"/>
    <xf numFmtId="11" fontId="18" fillId="13" borderId="14" xfId="0" applyNumberFormat="1" applyFont="1" applyFill="1" applyBorder="1" applyAlignment="1">
      <alignment horizontal="center"/>
    </xf>
    <xf numFmtId="0" fontId="18" fillId="14" borderId="14" xfId="0" applyFont="1" applyFill="1" applyBorder="1"/>
    <xf numFmtId="0" fontId="18" fillId="14" borderId="14" xfId="0" applyFont="1" applyFill="1" applyBorder="1" applyAlignment="1">
      <alignment horizontal="center"/>
    </xf>
    <xf numFmtId="169" fontId="8" fillId="0" borderId="0" xfId="0" applyNumberFormat="1" applyFont="1"/>
    <xf numFmtId="0" fontId="18" fillId="0" borderId="0" xfId="0" applyFont="1" applyAlignment="1">
      <alignment horizontal="center"/>
    </xf>
    <xf numFmtId="0" fontId="1" fillId="0" borderId="2" xfId="0" applyFont="1" applyBorder="1"/>
    <xf numFmtId="0" fontId="14" fillId="0" borderId="0" xfId="0" applyFont="1" applyAlignment="1">
      <alignment horizontal="center"/>
    </xf>
    <xf numFmtId="0" fontId="45" fillId="0" borderId="3" xfId="0" applyFont="1" applyBorder="1"/>
    <xf numFmtId="165" fontId="18" fillId="0" borderId="0" xfId="0" applyNumberFormat="1" applyFont="1" applyAlignment="1">
      <alignment horizontal="center" vertical="center" wrapText="1"/>
    </xf>
    <xf numFmtId="11" fontId="1" fillId="0" borderId="0" xfId="0" applyNumberFormat="1" applyFont="1"/>
    <xf numFmtId="0" fontId="20" fillId="0" borderId="18" xfId="0" applyFont="1" applyBorder="1"/>
    <xf numFmtId="0" fontId="8" fillId="0" borderId="19" xfId="0" applyFont="1" applyBorder="1"/>
    <xf numFmtId="0" fontId="8" fillId="0" borderId="20" xfId="0" applyFont="1" applyBorder="1"/>
    <xf numFmtId="11" fontId="8" fillId="0" borderId="17" xfId="0" applyNumberFormat="1" applyFont="1" applyBorder="1"/>
    <xf numFmtId="0" fontId="8" fillId="0" borderId="17" xfId="0" applyFont="1" applyBorder="1"/>
    <xf numFmtId="0" fontId="18" fillId="9" borderId="0" xfId="0" applyFont="1" applyFill="1"/>
    <xf numFmtId="0" fontId="18" fillId="9" borderId="0" xfId="0" applyFont="1" applyFill="1" applyAlignment="1">
      <alignment horizontal="center"/>
    </xf>
    <xf numFmtId="171" fontId="8" fillId="0" borderId="0" xfId="29" applyNumberFormat="1" applyFont="1"/>
    <xf numFmtId="0" fontId="8" fillId="0" borderId="0" xfId="0" applyFont="1" applyAlignment="1">
      <alignment textRotation="90" wrapText="1"/>
    </xf>
    <xf numFmtId="0" fontId="18" fillId="0" borderId="2" xfId="0" applyFont="1" applyBorder="1"/>
    <xf numFmtId="0" fontId="18" fillId="0" borderId="2" xfId="0" applyFont="1" applyBorder="1" applyAlignment="1">
      <alignment horizontal="center"/>
    </xf>
    <xf numFmtId="0" fontId="18" fillId="0" borderId="3" xfId="0" applyFont="1" applyBorder="1" applyAlignment="1">
      <alignment horizontal="left" vertical="center"/>
    </xf>
    <xf numFmtId="0" fontId="18" fillId="13" borderId="14" xfId="0" applyFont="1" applyFill="1" applyBorder="1" applyAlignment="1">
      <alignment horizontal="center"/>
    </xf>
    <xf numFmtId="164" fontId="8" fillId="9" borderId="14" xfId="0" applyNumberFormat="1" applyFont="1" applyFill="1" applyBorder="1" applyAlignment="1">
      <alignment horizontal="center"/>
    </xf>
    <xf numFmtId="165" fontId="8" fillId="0" borderId="0" xfId="0" applyNumberFormat="1" applyFont="1"/>
    <xf numFmtId="0" fontId="8" fillId="9" borderId="23" xfId="0" applyFont="1" applyFill="1" applyBorder="1"/>
    <xf numFmtId="168" fontId="8" fillId="9" borderId="23" xfId="0" applyNumberFormat="1" applyFont="1" applyFill="1" applyBorder="1" applyAlignment="1">
      <alignment horizontal="center"/>
    </xf>
    <xf numFmtId="0" fontId="8" fillId="35" borderId="0" xfId="0" applyFont="1" applyFill="1"/>
    <xf numFmtId="165" fontId="18" fillId="0" borderId="0" xfId="0" applyNumberFormat="1" applyFont="1" applyAlignment="1">
      <alignment horizontal="right" vertical="center" wrapText="1"/>
    </xf>
    <xf numFmtId="0" fontId="44" fillId="0" borderId="2" xfId="0" applyFont="1" applyBorder="1"/>
    <xf numFmtId="0" fontId="18" fillId="14" borderId="24" xfId="0" applyFont="1" applyFill="1" applyBorder="1"/>
    <xf numFmtId="0" fontId="18" fillId="14" borderId="24" xfId="0" applyFont="1" applyFill="1" applyBorder="1" applyAlignment="1">
      <alignment horizontal="center"/>
    </xf>
    <xf numFmtId="0" fontId="18" fillId="0" borderId="14" xfId="0" applyFont="1" applyBorder="1"/>
    <xf numFmtId="11" fontId="18" fillId="0" borderId="14" xfId="0" applyNumberFormat="1" applyFont="1" applyBorder="1" applyAlignment="1">
      <alignment horizontal="center"/>
    </xf>
    <xf numFmtId="170" fontId="8" fillId="0" borderId="0" xfId="29" applyNumberFormat="1" applyFont="1"/>
    <xf numFmtId="11" fontId="18" fillId="9" borderId="14" xfId="0" applyNumberFormat="1" applyFont="1" applyFill="1" applyBorder="1" applyAlignment="1">
      <alignment horizontal="center"/>
    </xf>
    <xf numFmtId="11" fontId="18" fillId="14" borderId="14" xfId="0" applyNumberFormat="1" applyFont="1" applyFill="1" applyBorder="1" applyAlignment="1">
      <alignment horizontal="center"/>
    </xf>
    <xf numFmtId="11" fontId="47" fillId="10" borderId="14" xfId="0" applyNumberFormat="1" applyFont="1" applyFill="1" applyBorder="1" applyAlignment="1">
      <alignment horizontal="center"/>
    </xf>
    <xf numFmtId="0" fontId="47" fillId="10" borderId="14" xfId="0" applyFont="1" applyFill="1" applyBorder="1" applyAlignment="1">
      <alignment horizontal="center"/>
    </xf>
    <xf numFmtId="0" fontId="8" fillId="5" borderId="2" xfId="0" applyFont="1" applyFill="1" applyBorder="1" applyAlignment="1">
      <alignment horizontal="left" vertical="center"/>
    </xf>
    <xf numFmtId="0" fontId="47" fillId="5" borderId="14" xfId="0" applyFont="1" applyFill="1" applyBorder="1"/>
    <xf numFmtId="0" fontId="47" fillId="36" borderId="14" xfId="0" applyFont="1" applyFill="1" applyBorder="1"/>
    <xf numFmtId="0" fontId="47" fillId="0" borderId="14" xfId="0" applyFont="1" applyBorder="1"/>
    <xf numFmtId="0" fontId="8" fillId="11" borderId="3" xfId="0" applyFont="1" applyFill="1" applyBorder="1"/>
    <xf numFmtId="11" fontId="8" fillId="15" borderId="17" xfId="0" applyNumberFormat="1" applyFont="1" applyFill="1" applyBorder="1"/>
    <xf numFmtId="0" fontId="18" fillId="0" borderId="14" xfId="0" applyFont="1" applyBorder="1" applyAlignment="1">
      <alignment horizontal="center"/>
    </xf>
    <xf numFmtId="167" fontId="8" fillId="0" borderId="0" xfId="0" applyNumberFormat="1" applyFont="1"/>
    <xf numFmtId="0" fontId="50" fillId="0" borderId="0" xfId="0" applyFont="1"/>
    <xf numFmtId="0" fontId="47" fillId="0" borderId="16" xfId="0" applyFont="1" applyBorder="1" applyAlignment="1">
      <alignment horizontal="center"/>
    </xf>
    <xf numFmtId="49" fontId="43" fillId="0" borderId="0" xfId="0" applyNumberFormat="1" applyFont="1" applyAlignment="1">
      <alignment horizontal="right" vertical="center"/>
    </xf>
    <xf numFmtId="49" fontId="43" fillId="0" borderId="0" xfId="0" applyNumberFormat="1" applyFont="1"/>
    <xf numFmtId="164" fontId="8" fillId="0" borderId="0" xfId="0" applyNumberFormat="1" applyFont="1" applyAlignment="1">
      <alignment horizontal="center"/>
    </xf>
    <xf numFmtId="11" fontId="47" fillId="0" borderId="16" xfId="0" applyNumberFormat="1" applyFont="1" applyBorder="1" applyAlignment="1">
      <alignment horizontal="center"/>
    </xf>
    <xf numFmtId="11" fontId="47" fillId="0" borderId="14" xfId="0" applyNumberFormat="1" applyFont="1" applyBorder="1" applyAlignment="1">
      <alignment horizontal="center" vertical="center" wrapText="1"/>
    </xf>
    <xf numFmtId="0" fontId="47" fillId="0" borderId="14" xfId="0" applyFont="1" applyBorder="1" applyAlignment="1">
      <alignment horizontal="left" vertical="top" wrapText="1"/>
    </xf>
    <xf numFmtId="11" fontId="47" fillId="0" borderId="14" xfId="0" applyNumberFormat="1" applyFont="1" applyBorder="1" applyAlignment="1">
      <alignment horizontal="center" vertical="top" wrapText="1"/>
    </xf>
    <xf numFmtId="0" fontId="47" fillId="10" borderId="14" xfId="0" applyFont="1" applyFill="1" applyBorder="1" applyAlignment="1">
      <alignment horizontal="right"/>
    </xf>
    <xf numFmtId="0" fontId="47" fillId="0" borderId="0" xfId="0" applyFont="1" applyAlignment="1">
      <alignment horizontal="left" vertical="top" wrapText="1"/>
    </xf>
    <xf numFmtId="11" fontId="47" fillId="0" borderId="0" xfId="0" applyNumberFormat="1" applyFont="1" applyAlignment="1">
      <alignment horizontal="center" vertical="top" wrapText="1"/>
    </xf>
    <xf numFmtId="11" fontId="47" fillId="0" borderId="0" xfId="0" applyNumberFormat="1" applyFont="1" applyAlignment="1">
      <alignment horizontal="center"/>
    </xf>
    <xf numFmtId="0" fontId="18" fillId="9" borderId="22" xfId="0" applyFont="1" applyFill="1" applyBorder="1"/>
    <xf numFmtId="0" fontId="18" fillId="9" borderId="22" xfId="0" applyFont="1" applyFill="1" applyBorder="1" applyAlignment="1">
      <alignment horizontal="center"/>
    </xf>
    <xf numFmtId="0" fontId="15" fillId="8" borderId="2" xfId="0" applyFont="1" applyFill="1" applyBorder="1" applyAlignment="1">
      <alignment horizontal="left" vertical="center"/>
    </xf>
    <xf numFmtId="165" fontId="18" fillId="0" borderId="0" xfId="0" applyNumberFormat="1" applyFont="1"/>
    <xf numFmtId="0" fontId="18" fillId="0" borderId="21" xfId="0" applyFont="1" applyBorder="1"/>
    <xf numFmtId="0" fontId="47" fillId="0" borderId="20" xfId="0" applyFont="1" applyBorder="1" applyAlignment="1">
      <alignment horizontal="center"/>
    </xf>
    <xf numFmtId="0" fontId="8" fillId="9" borderId="22" xfId="0" applyFont="1" applyFill="1" applyBorder="1"/>
    <xf numFmtId="0" fontId="15" fillId="2" borderId="2" xfId="0" applyFont="1" applyFill="1" applyBorder="1" applyAlignment="1">
      <alignment horizontal="left" vertical="center"/>
    </xf>
    <xf numFmtId="0" fontId="8" fillId="2" borderId="0" xfId="0" applyFont="1" applyFill="1"/>
    <xf numFmtId="0" fontId="47" fillId="2" borderId="14" xfId="0" applyFont="1" applyFill="1" applyBorder="1"/>
    <xf numFmtId="0" fontId="47" fillId="37" borderId="14" xfId="0" applyFont="1" applyFill="1" applyBorder="1"/>
    <xf numFmtId="0" fontId="47" fillId="2" borderId="14" xfId="0" applyFont="1" applyFill="1" applyBorder="1" applyAlignment="1">
      <alignment horizontal="center" vertical="center" wrapText="1"/>
    </xf>
    <xf numFmtId="0" fontId="47" fillId="0" borderId="33" xfId="0" applyFont="1" applyBorder="1" applyAlignment="1">
      <alignment horizontal="center" vertical="center" wrapText="1"/>
    </xf>
    <xf numFmtId="2" fontId="18" fillId="0" borderId="0" xfId="0" applyNumberFormat="1" applyFont="1"/>
    <xf numFmtId="0" fontId="30" fillId="38" borderId="2" xfId="0" applyFont="1" applyFill="1" applyBorder="1" applyAlignment="1">
      <alignment horizontal="left" vertical="center"/>
    </xf>
    <xf numFmtId="11" fontId="18" fillId="0" borderId="34" xfId="0" applyNumberFormat="1" applyFont="1" applyBorder="1" applyAlignment="1">
      <alignment horizontal="right"/>
    </xf>
    <xf numFmtId="11" fontId="18" fillId="0" borderId="35" xfId="0" applyNumberFormat="1" applyFont="1" applyBorder="1" applyAlignment="1">
      <alignment horizontal="right" vertical="top" wrapText="1"/>
    </xf>
    <xf numFmtId="11" fontId="18" fillId="0" borderId="13" xfId="0" applyNumberFormat="1" applyFont="1" applyBorder="1" applyAlignment="1">
      <alignment horizontal="right"/>
    </xf>
    <xf numFmtId="0" fontId="18" fillId="10" borderId="14" xfId="0" applyFont="1" applyFill="1" applyBorder="1" applyAlignment="1">
      <alignment horizontal="right"/>
    </xf>
    <xf numFmtId="11" fontId="18" fillId="0" borderId="16" xfId="0" applyNumberFormat="1" applyFont="1" applyBorder="1" applyAlignment="1">
      <alignment horizontal="right"/>
    </xf>
    <xf numFmtId="0" fontId="8" fillId="11" borderId="17" xfId="0" applyFont="1" applyFill="1" applyBorder="1"/>
    <xf numFmtId="11" fontId="47" fillId="0" borderId="17" xfId="0" applyNumberFormat="1" applyFont="1" applyBorder="1" applyAlignment="1">
      <alignment horizontal="center"/>
    </xf>
    <xf numFmtId="11" fontId="47" fillId="0" borderId="22" xfId="0" applyNumberFormat="1"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Border="1" applyAlignment="1">
      <alignment horizontal="center" vertical="center"/>
    </xf>
    <xf numFmtId="0" fontId="20" fillId="0" borderId="7" xfId="0" applyFont="1" applyBorder="1" applyAlignment="1">
      <alignment horizontal="center" vertical="center"/>
    </xf>
    <xf numFmtId="0" fontId="13" fillId="0" borderId="0" xfId="0" applyFont="1"/>
    <xf numFmtId="0" fontId="13" fillId="0" borderId="2" xfId="0" applyFont="1" applyBorder="1"/>
  </cellXfs>
  <cellStyles count="30">
    <cellStyle name="Comma" xfId="29" builtinId="3"/>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2">
    <dxf>
      <fill>
        <patternFill>
          <bgColor theme="9"/>
        </patternFill>
      </fill>
    </dxf>
    <dxf>
      <fill>
        <patternFill>
          <bgColor theme="9"/>
        </patternFill>
      </fill>
    </dxf>
  </dxfs>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89" Type="http://schemas.openxmlformats.org/officeDocument/2006/relationships/customXml" Target="../customXml/item2.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2.xml"/><Relationship Id="rId5" Type="http://schemas.openxmlformats.org/officeDocument/2006/relationships/worksheet" Target="worksheets/sheet5.xml"/><Relationship Id="rId90"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3.xml"/><Relationship Id="rId85" Type="http://schemas.openxmlformats.org/officeDocument/2006/relationships/sheetMetadata" Target="metadata.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88"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1.xml"/><Relationship Id="rId81" Type="http://schemas.openxmlformats.org/officeDocument/2006/relationships/externalLink" Target="externalLinks/externalLink4.xml"/><Relationship Id="rId86"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theme" Target="theme/theme1.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 Id="rId1"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3_Data%20collection/3_PEMFC_PMFC/1_mid-term/GENESIS_LCI_fuel%20cell_PEM_medium-term_PEMFC-bat_09.02.2023.xlsx" TargetMode="External"/><Relationship Id="rId1" Type="http://schemas.openxmlformats.org/officeDocument/2006/relationships/externalLinkPath" Target="https://dtudk.sharepoint.com/sites/GENESIS/Delte%20dokumenter/General/3_Collaboration/3_Data%20collection/3_PEMFC_PMFC/1_mid-term/GENESIS_LCI_fuel%20cell_PEM_medium-term_PEMFC-bat_09.02.202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Medium_term/PEMFC-bat/isolating%20DCDC%20converter.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motor%20traction%20drive%20inverter%20DCAC.xlsx" TargetMode="External"/><Relationship Id="rId1" Type="http://schemas.openxmlformats.org/officeDocument/2006/relationships/externalLinkPath" Target="https://dtudk.sharepoint.com/sites/GENESIS/Delte%20dokumenter/General/3_Collaboration/7_BW2/Modeling/LCI/Medium_term/PEMFC-bat/motor%20traction%20drive%20inverter%20DC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4MHMDFADBMNJH2HU6BH6O3T4LU">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sheetData sheetId="1"/>
      <sheetData sheetId="2">
        <row r="171">
          <cell r="H171">
            <v>0.10991561706791897</v>
          </cell>
        </row>
        <row r="175">
          <cell r="H175">
            <v>34.994115000000008</v>
          </cell>
          <cell r="I175">
            <v>1.7984156157241777</v>
          </cell>
          <cell r="J175">
            <v>51.900020438473796</v>
          </cell>
          <cell r="K175">
            <v>342.98062881842048</v>
          </cell>
          <cell r="L175">
            <v>21.005791489085734</v>
          </cell>
          <cell r="Q175">
            <v>4.3536627037265347</v>
          </cell>
        </row>
        <row r="363">
          <cell r="H363">
            <v>34.994115000000008</v>
          </cell>
          <cell r="I363">
            <v>1.7608624632149372</v>
          </cell>
          <cell r="J363">
            <v>37.405303905299057</v>
          </cell>
          <cell r="K363">
            <v>48.932588458927405</v>
          </cell>
          <cell r="L363">
            <v>21.005092828479057</v>
          </cell>
          <cell r="Q363">
            <v>4.3542014876537367</v>
          </cell>
        </row>
      </sheetData>
      <sheetData sheetId="3">
        <row r="171">
          <cell r="H171">
            <v>0.10796930320545405</v>
          </cell>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4MTJSEAMGRRVF2ZY3RCFCVTIFF">
      <xxl21:absoluteUrl r:id="rId2"/>
    </xxl21:alternateUrls>
    <sheetNames>
      <sheetName val="Read Me "/>
      <sheetName val="Use"/>
      <sheetName val="Sheet2"/>
      <sheetName val="Manufacturing"/>
      <sheetName val="Contact details"/>
      <sheetName val="EOL"/>
      <sheetName val="Economic information"/>
      <sheetName val="References"/>
      <sheetName val="Glossary"/>
      <sheetName val="Feedback"/>
      <sheetName val="DD lists"/>
      <sheetName val="H2 _prod original"/>
      <sheetName val="Airplane_orig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MOTOR DRIVE INVERTER"/>
      <sheetName val="Power electronics"/>
    </sheetNames>
    <sheetDataSet>
      <sheetData sheetId="0"/>
      <sheetData sheetId="1"/>
      <sheetData sheetId="2">
        <row r="46">
          <cell r="B46">
            <v>0.25</v>
          </cell>
        </row>
      </sheetData>
      <sheetData sheetId="3"/>
      <sheetData sheetId="4"/>
      <sheetData sheetId="5"/>
      <sheetData sheetId="6"/>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Karen Saavedra Rubio" id="{B8E4AC6C-C36A-4A12-91C0-84CAC14E1858}" userId="S::kasaru@dtu.dk::de8c7964-5f89-4fbf-b3f1-efea5242b1b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47" dT="2023-01-25T11:01:24.29" personId="{B8E4AC6C-C36A-4A12-91C0-84CAC14E1858}" id="{8D096174-5554-4420-8345-A659E31C6AE9}">
    <text>From HFPO synthesis</text>
  </threadedComment>
  <threadedComment ref="O149" dT="2023-01-25T11:04:49.51" personId="{B8E4AC6C-C36A-4A12-91C0-84CAC14E1858}" id="{517CDDA8-D39A-4E35-870C-386CEC943BAF}">
    <text>From PSEPVE synthesis</text>
  </threadedComment>
  <threadedComment ref="Q166" dT="2022-11-14T14:32:43.06" personId="{B8E4AC6C-C36A-4A12-91C0-84CAC14E1858}" id="{0AFC0E3B-BF2D-4A5D-8A6B-2C688B358F07}">
    <text>1 ml solvent/ 100 mg solid</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25CF6-B392-4D58-91B2-7B6CB445B9EA}">
  <dimension ref="A1:N35"/>
  <sheetViews>
    <sheetView topLeftCell="A3" workbookViewId="0">
      <selection activeCell="A16" sqref="A16"/>
    </sheetView>
  </sheetViews>
  <sheetFormatPr defaultRowHeight="15"/>
  <cols>
    <col min="1" max="1" width="41.85546875" bestFit="1" customWidth="1"/>
    <col min="2" max="2" width="43.42578125" bestFit="1" customWidth="1"/>
    <col min="3" max="3" width="12.8554687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c r="N1" s="22" t="str">
        <f ca="1">UPPER(CONCATENATE(DEC2HEX(RANDBETWEEN(0,POWER(16,8)),8),DEC2HEX(RANDBETWEEN(0,POWER(16,4)),4),"4",DEC2HEX(RANDBETWEEN(0,POWER(16,3)),3),DEC2HEX(RANDBETWEEN(8,11)),DEC2HEX(RANDBETWEEN(0,POWER(16,3)),3),DEC2HEX(RANDBETWEEN(0,POWER(16,8)),8),DEC2HEX(RANDBETWEEN(0,POWER(16,4)),4)))</f>
        <v>8A5CB861C7E2471DB7113793339EAB5B</v>
      </c>
    </row>
    <row r="2" spans="1:14" ht="15.75">
      <c r="A2" s="16" t="s">
        <v>1</v>
      </c>
      <c r="B2" s="16" t="s">
        <v>2</v>
      </c>
    </row>
    <row r="3" spans="1:14">
      <c r="A3" t="s">
        <v>3</v>
      </c>
      <c r="B3" t="s">
        <v>4</v>
      </c>
    </row>
    <row r="4" spans="1:14" ht="15.7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60">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75">
      <c r="A12" s="5" t="s">
        <v>19</v>
      </c>
      <c r="B12" s="13"/>
      <c r="C12" s="13"/>
      <c r="D12" s="13"/>
      <c r="E12" s="13"/>
      <c r="F12" s="13"/>
      <c r="G12" s="13"/>
      <c r="H12" s="13"/>
      <c r="I12" s="13"/>
      <c r="J12" s="13"/>
      <c r="K12" s="13"/>
      <c r="L12" s="13"/>
      <c r="M12" s="13"/>
    </row>
    <row r="13" spans="1:14" ht="15.75">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tr">
        <f>B4</f>
        <v>aircraft usage, design mission, PEMFC-bat</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229.55</v>
      </c>
      <c r="C17" t="s">
        <v>37</v>
      </c>
      <c r="D17" t="s">
        <v>2</v>
      </c>
      <c r="E17" t="s">
        <v>29</v>
      </c>
      <c r="F17" t="s">
        <v>14</v>
      </c>
      <c r="G17" t="s">
        <v>33</v>
      </c>
      <c r="H17">
        <v>2</v>
      </c>
      <c r="I17">
        <f>LN(B17)</f>
        <v>5.4361208706952313</v>
      </c>
      <c r="J17">
        <v>5.0990195135927806E-2</v>
      </c>
      <c r="K17" t="s">
        <v>31</v>
      </c>
      <c r="L17" t="s">
        <v>31</v>
      </c>
      <c r="M17" t="s">
        <v>31</v>
      </c>
    </row>
    <row r="18" spans="1:14">
      <c r="A18" t="s">
        <v>38</v>
      </c>
      <c r="B18">
        <v>1950.7470860000001</v>
      </c>
      <c r="C18" t="s">
        <v>39</v>
      </c>
      <c r="D18" t="s">
        <v>40</v>
      </c>
      <c r="E18" t="s">
        <v>29</v>
      </c>
      <c r="F18" t="s">
        <v>14</v>
      </c>
      <c r="G18" t="s">
        <v>33</v>
      </c>
      <c r="H18">
        <v>2</v>
      </c>
      <c r="I18">
        <v>8.4693444839373466</v>
      </c>
      <c r="J18">
        <v>5.0990195135927806E-2</v>
      </c>
      <c r="K18" t="s">
        <v>31</v>
      </c>
      <c r="L18" t="s">
        <v>31</v>
      </c>
      <c r="M18" t="s">
        <v>31</v>
      </c>
    </row>
    <row r="19" spans="1:14">
      <c r="A19" t="s">
        <v>41</v>
      </c>
      <c r="B19">
        <f>2051.806/1000</f>
        <v>2.051806</v>
      </c>
      <c r="C19" t="s">
        <v>42</v>
      </c>
      <c r="D19" t="s">
        <v>43</v>
      </c>
      <c r="E19" t="s">
        <v>44</v>
      </c>
      <c r="F19" t="s">
        <v>29</v>
      </c>
      <c r="G19" t="s">
        <v>45</v>
      </c>
      <c r="H19">
        <v>2</v>
      </c>
      <c r="I19">
        <f t="shared" ref="I19" si="0">LN(B19)</f>
        <v>0.71872038092882362</v>
      </c>
      <c r="J19">
        <v>5.0990195135927806E-2</v>
      </c>
      <c r="K19" t="s">
        <v>31</v>
      </c>
      <c r="L19" t="s">
        <v>31</v>
      </c>
      <c r="M19" t="s">
        <v>31</v>
      </c>
      <c r="N19">
        <f>SUM('[1]Use (kerosene)'!H175:L175,'[1]Use (kerosene)'!Q175)</f>
        <v>457.03263406543067</v>
      </c>
    </row>
    <row r="20" spans="1:14" ht="15.75">
      <c r="A20" s="1" t="s">
        <v>5</v>
      </c>
      <c r="B20" s="2" t="s">
        <v>46</v>
      </c>
      <c r="C20" s="3"/>
      <c r="D20" s="11"/>
      <c r="E20" s="11"/>
      <c r="F20" s="11"/>
      <c r="G20" s="11"/>
      <c r="H20" s="11"/>
      <c r="I20" s="11"/>
      <c r="J20" s="11"/>
      <c r="K20" s="11"/>
      <c r="L20" s="11"/>
      <c r="M20" s="11"/>
    </row>
    <row r="21" spans="1:14">
      <c r="A21" s="12" t="s">
        <v>7</v>
      </c>
      <c r="B21" s="13" t="s">
        <v>8</v>
      </c>
      <c r="C21" s="4"/>
      <c r="D21" s="13"/>
      <c r="E21" s="13"/>
      <c r="F21" s="13"/>
      <c r="G21" s="13"/>
      <c r="H21" s="13"/>
      <c r="I21" s="13"/>
      <c r="J21" s="13"/>
      <c r="K21" s="13"/>
      <c r="L21" s="13"/>
      <c r="M21" s="13"/>
    </row>
    <row r="22" spans="1:14">
      <c r="A22" s="12" t="s">
        <v>9</v>
      </c>
      <c r="B22" s="13" t="s">
        <v>47</v>
      </c>
      <c r="C22" s="4"/>
      <c r="D22" s="13"/>
      <c r="E22" s="13"/>
      <c r="F22" s="13"/>
      <c r="G22" s="13"/>
      <c r="H22" s="13"/>
      <c r="I22" s="13"/>
      <c r="J22" s="13"/>
      <c r="K22" s="13"/>
      <c r="L22" s="13"/>
      <c r="M22" s="13"/>
    </row>
    <row r="23" spans="1:14" ht="60">
      <c r="A23" s="12" t="s">
        <v>11</v>
      </c>
      <c r="B23" s="14" t="s">
        <v>48</v>
      </c>
      <c r="C23" s="13"/>
      <c r="D23" s="13"/>
      <c r="E23" s="13"/>
      <c r="F23" s="13"/>
      <c r="G23" s="13"/>
      <c r="H23" s="13"/>
      <c r="I23" s="13"/>
      <c r="J23" s="13"/>
      <c r="K23" s="13"/>
      <c r="L23" s="13"/>
      <c r="M23" s="13"/>
    </row>
    <row r="24" spans="1:14">
      <c r="A24" s="12" t="s">
        <v>13</v>
      </c>
      <c r="B24" s="13" t="s">
        <v>14</v>
      </c>
      <c r="C24" s="13"/>
      <c r="D24" s="13"/>
      <c r="E24" s="13"/>
      <c r="F24" s="13"/>
      <c r="G24" s="13"/>
      <c r="H24" s="13"/>
      <c r="I24" s="13"/>
      <c r="J24" s="13"/>
      <c r="K24" s="13"/>
      <c r="L24" s="13"/>
      <c r="M24" s="13"/>
    </row>
    <row r="25" spans="1:14">
      <c r="A25" s="12" t="s">
        <v>15</v>
      </c>
      <c r="B25" s="13">
        <v>1</v>
      </c>
      <c r="C25" s="13"/>
      <c r="D25" s="13"/>
      <c r="E25" s="13"/>
      <c r="F25" s="13"/>
      <c r="G25" s="13"/>
      <c r="H25" s="13"/>
      <c r="I25" s="13"/>
      <c r="J25" s="13"/>
      <c r="K25" s="13"/>
      <c r="L25" s="13"/>
      <c r="M25" s="13"/>
    </row>
    <row r="26" spans="1:14">
      <c r="A26" s="12" t="s">
        <v>16</v>
      </c>
      <c r="B26" s="13" t="s">
        <v>17</v>
      </c>
      <c r="C26" s="13"/>
      <c r="D26" s="13"/>
      <c r="E26" s="13"/>
      <c r="F26" s="13"/>
      <c r="G26" s="13"/>
      <c r="H26" s="13"/>
      <c r="I26" s="13"/>
      <c r="J26" s="13"/>
      <c r="K26" s="13"/>
      <c r="L26" s="13"/>
      <c r="M26" s="13"/>
    </row>
    <row r="27" spans="1:14">
      <c r="A27" s="12" t="s">
        <v>18</v>
      </c>
      <c r="B27" s="13" t="s">
        <v>18</v>
      </c>
      <c r="C27" s="13"/>
      <c r="D27" s="13"/>
      <c r="E27" s="13"/>
      <c r="F27" s="13"/>
      <c r="G27" s="13"/>
      <c r="H27" s="13"/>
      <c r="I27" s="13"/>
      <c r="J27" s="13"/>
      <c r="K27" s="13"/>
      <c r="L27" s="13"/>
      <c r="M27" s="13"/>
    </row>
    <row r="28" spans="1:14" ht="15.75">
      <c r="A28" s="5" t="s">
        <v>19</v>
      </c>
      <c r="B28" s="13"/>
      <c r="C28" s="13"/>
      <c r="D28" s="13"/>
      <c r="E28" s="13"/>
      <c r="F28" s="13"/>
      <c r="G28" s="13"/>
      <c r="H28" s="13"/>
      <c r="I28" s="13"/>
      <c r="J28" s="13"/>
      <c r="K28" s="13"/>
      <c r="L28" s="13"/>
      <c r="M28" s="13"/>
    </row>
    <row r="29" spans="1:14" ht="15.75">
      <c r="A29" s="5" t="s">
        <v>20</v>
      </c>
      <c r="B29" s="6" t="s">
        <v>21</v>
      </c>
      <c r="C29" s="6" t="s">
        <v>18</v>
      </c>
      <c r="D29" s="6" t="s">
        <v>22</v>
      </c>
      <c r="E29" s="6" t="s">
        <v>7</v>
      </c>
      <c r="F29" s="6" t="s">
        <v>13</v>
      </c>
      <c r="G29" s="6" t="s">
        <v>16</v>
      </c>
      <c r="H29" s="6" t="s">
        <v>23</v>
      </c>
      <c r="I29" s="6" t="s">
        <v>24</v>
      </c>
      <c r="J29" s="6" t="s">
        <v>25</v>
      </c>
      <c r="K29" s="6" t="s">
        <v>26</v>
      </c>
      <c r="L29" s="6" t="s">
        <v>27</v>
      </c>
      <c r="M29" s="6" t="s">
        <v>28</v>
      </c>
    </row>
    <row r="30" spans="1:14">
      <c r="A30" t="str">
        <f>B20</f>
        <v>aircraft usage, typical mission, PEMFC-bat</v>
      </c>
      <c r="B30">
        <v>1</v>
      </c>
      <c r="C30" t="s">
        <v>18</v>
      </c>
      <c r="D30" t="s">
        <v>2</v>
      </c>
      <c r="E30" t="s">
        <v>29</v>
      </c>
      <c r="F30" t="s">
        <v>14</v>
      </c>
      <c r="G30" t="s">
        <v>30</v>
      </c>
      <c r="H30">
        <v>1</v>
      </c>
      <c r="I30">
        <v>1</v>
      </c>
      <c r="J30" t="s">
        <v>31</v>
      </c>
      <c r="K30" t="s">
        <v>31</v>
      </c>
      <c r="L30" t="s">
        <v>31</v>
      </c>
      <c r="M30" t="s">
        <v>31</v>
      </c>
    </row>
    <row r="31" spans="1:14">
      <c r="A31" t="s">
        <v>32</v>
      </c>
      <c r="B31">
        <f>1/(20*365*4)</f>
        <v>3.4246575342465751E-5</v>
      </c>
      <c r="C31" t="s">
        <v>18</v>
      </c>
      <c r="D31" t="s">
        <v>2</v>
      </c>
      <c r="E31" t="s">
        <v>29</v>
      </c>
      <c r="F31" t="s">
        <v>14</v>
      </c>
      <c r="G31" t="s">
        <v>33</v>
      </c>
      <c r="H31">
        <v>1</v>
      </c>
      <c r="I31">
        <v>1</v>
      </c>
      <c r="J31" t="s">
        <v>31</v>
      </c>
      <c r="K31" t="s">
        <v>31</v>
      </c>
      <c r="L31" t="s">
        <v>31</v>
      </c>
      <c r="M31" t="s">
        <v>31</v>
      </c>
    </row>
    <row r="32" spans="1:14">
      <c r="A32" t="s">
        <v>34</v>
      </c>
      <c r="B32">
        <f>1/(18835+18859)</f>
        <v>2.6529421128030986E-5</v>
      </c>
      <c r="C32" t="s">
        <v>18</v>
      </c>
      <c r="D32" t="s">
        <v>2</v>
      </c>
      <c r="E32" t="s">
        <v>29</v>
      </c>
      <c r="F32" t="s">
        <v>35</v>
      </c>
      <c r="G32" t="s">
        <v>33</v>
      </c>
      <c r="H32">
        <v>1</v>
      </c>
      <c r="I32">
        <v>1</v>
      </c>
      <c r="J32" t="s">
        <v>31</v>
      </c>
      <c r="K32" t="s">
        <v>31</v>
      </c>
      <c r="L32" t="s">
        <v>31</v>
      </c>
      <c r="M32" t="s">
        <v>31</v>
      </c>
    </row>
    <row r="33" spans="1:14">
      <c r="A33" t="s">
        <v>36</v>
      </c>
      <c r="B33" s="23">
        <v>61.84</v>
      </c>
      <c r="C33" t="s">
        <v>37</v>
      </c>
      <c r="D33" t="s">
        <v>2</v>
      </c>
      <c r="E33" t="s">
        <v>29</v>
      </c>
      <c r="F33" t="s">
        <v>14</v>
      </c>
      <c r="G33" t="s">
        <v>33</v>
      </c>
      <c r="H33">
        <v>2</v>
      </c>
      <c r="I33">
        <f>LN(B33)</f>
        <v>4.1245504042791667</v>
      </c>
      <c r="J33">
        <v>5.0990195135927806E-2</v>
      </c>
      <c r="K33" t="s">
        <v>31</v>
      </c>
      <c r="L33" t="s">
        <v>31</v>
      </c>
      <c r="M33" t="s">
        <v>31</v>
      </c>
    </row>
    <row r="34" spans="1:14">
      <c r="A34" t="s">
        <v>38</v>
      </c>
      <c r="B34" s="23">
        <v>971.96874600000001</v>
      </c>
      <c r="C34" t="s">
        <v>39</v>
      </c>
      <c r="D34" t="s">
        <v>40</v>
      </c>
      <c r="E34" t="s">
        <v>29</v>
      </c>
      <c r="F34" t="s">
        <v>14</v>
      </c>
      <c r="G34" t="s">
        <v>33</v>
      </c>
      <c r="H34">
        <v>2</v>
      </c>
      <c r="I34">
        <f>LN(B34)</f>
        <v>6.8793236496224903</v>
      </c>
      <c r="J34">
        <v>5.0990195135927806E-2</v>
      </c>
      <c r="K34" t="s">
        <v>31</v>
      </c>
      <c r="L34" t="s">
        <v>31</v>
      </c>
      <c r="M34" t="s">
        <v>31</v>
      </c>
    </row>
    <row r="35" spans="1:14">
      <c r="A35" t="s">
        <v>41</v>
      </c>
      <c r="B35">
        <f>2*N35/1000</f>
        <v>0.29690432828714841</v>
      </c>
      <c r="C35" t="s">
        <v>42</v>
      </c>
      <c r="D35" t="s">
        <v>43</v>
      </c>
      <c r="E35" t="s">
        <v>44</v>
      </c>
      <c r="F35" t="s">
        <v>29</v>
      </c>
      <c r="G35" t="s">
        <v>45</v>
      </c>
      <c r="H35">
        <v>2</v>
      </c>
      <c r="I35">
        <f t="shared" ref="I35" si="1">LN(B35)</f>
        <v>-1.2143453190527758</v>
      </c>
      <c r="J35">
        <v>5.0990195135927806E-2</v>
      </c>
      <c r="K35" t="s">
        <v>31</v>
      </c>
      <c r="L35" t="s">
        <v>31</v>
      </c>
      <c r="M35" t="s">
        <v>31</v>
      </c>
      <c r="N35">
        <f>SUM('[1]Use (kerosene)'!H363:L363,'[1]Use (kerosene)'!Q363)</f>
        <v>148.45216414357421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27104-37E6-4AA2-9A99-DB34A46D32B9}">
  <dimension ref="A1:O221"/>
  <sheetViews>
    <sheetView topLeftCell="A56" zoomScale="70" zoomScaleNormal="70" workbookViewId="0">
      <selection activeCell="I74" sqref="I74"/>
    </sheetView>
  </sheetViews>
  <sheetFormatPr defaultColWidth="8.7109375" defaultRowHeight="15"/>
  <cols>
    <col min="1" max="1" width="86.7109375" style="86" customWidth="1"/>
    <col min="2" max="3" width="19.85546875" style="271" customWidth="1"/>
    <col min="4" max="4" width="10.140625" style="86" customWidth="1"/>
    <col min="5" max="5" width="31" style="86" bestFit="1" customWidth="1"/>
    <col min="6" max="6" width="25.5703125" style="86" customWidth="1"/>
    <col min="7" max="8" width="8.7109375" style="86"/>
    <col min="9" max="9" width="8.7109375" style="272"/>
    <col min="10" max="10" width="11.5703125" style="272" bestFit="1" customWidth="1"/>
    <col min="11" max="12" width="8.7109375" style="272"/>
    <col min="13" max="14" width="11.85546875" style="272" bestFit="1" customWidth="1"/>
    <col min="15" max="15" width="40.140625" style="86" bestFit="1" customWidth="1"/>
    <col min="16" max="16384" width="8.7109375" style="86"/>
  </cols>
  <sheetData>
    <row r="1" spans="1:15">
      <c r="A1" s="86" t="s">
        <v>0</v>
      </c>
      <c r="B1" s="271">
        <v>14</v>
      </c>
      <c r="D1" s="87" t="s">
        <v>277</v>
      </c>
    </row>
    <row r="2" spans="1:15" s="91" customFormat="1" ht="15.75">
      <c r="A2" s="89" t="s">
        <v>5</v>
      </c>
      <c r="B2" s="89" t="s">
        <v>291</v>
      </c>
      <c r="C2" s="89"/>
      <c r="D2" s="90"/>
    </row>
    <row r="3" spans="1:15">
      <c r="A3" s="86" t="s">
        <v>7</v>
      </c>
      <c r="B3" s="86" t="s">
        <v>292</v>
      </c>
      <c r="C3" s="86"/>
      <c r="I3" s="86"/>
      <c r="J3" s="86"/>
      <c r="K3" s="86"/>
      <c r="L3" s="86"/>
      <c r="M3" s="86"/>
      <c r="N3" s="86"/>
    </row>
    <row r="4" spans="1:15">
      <c r="A4" s="86" t="s">
        <v>9</v>
      </c>
      <c r="B4" s="86" t="str">
        <f ca="1">UPPER(CONCATENATE(DEC2HEX(RANDBETWEEN(0,POWER(16,8)),8),DEC2HEX(RANDBETWEEN(0,POWER(16,4)),4),"4",DEC2HEX(RANDBETWEEN(0,POWER(16,3)),3),DEC2HEX(RANDBETWEEN(8,11)),DEC2HEX(RANDBETWEEN(0,POWER(16,3)),3),DEC2HEX(RANDBETWEEN(0,POWER(16,8)),8),DEC2HEX(RANDBETWEEN(0,POWER(16,4)),4)))</f>
        <v>A00913E1BF794A2CA06C19C121B2D788</v>
      </c>
      <c r="C4" s="86"/>
      <c r="I4" s="86"/>
      <c r="J4" s="86"/>
      <c r="K4" s="86"/>
      <c r="L4" s="86"/>
      <c r="M4" s="86"/>
      <c r="N4" s="86"/>
    </row>
    <row r="5" spans="1:15">
      <c r="A5" s="86" t="s">
        <v>11</v>
      </c>
      <c r="B5" s="86" t="s">
        <v>293</v>
      </c>
      <c r="C5" s="86"/>
      <c r="I5" s="86"/>
      <c r="J5" s="86"/>
      <c r="K5" s="86"/>
      <c r="L5" s="86"/>
      <c r="M5" s="86"/>
      <c r="N5" s="86"/>
    </row>
    <row r="6" spans="1:15">
      <c r="A6" s="86" t="s">
        <v>13</v>
      </c>
      <c r="B6" s="271" t="s">
        <v>58</v>
      </c>
    </row>
    <row r="7" spans="1:15">
      <c r="A7" s="86" t="s">
        <v>15</v>
      </c>
      <c r="B7" s="86">
        <v>1</v>
      </c>
      <c r="C7" s="86"/>
    </row>
    <row r="8" spans="1:15">
      <c r="A8" s="86" t="s">
        <v>16</v>
      </c>
      <c r="B8" s="86" t="s">
        <v>17</v>
      </c>
      <c r="C8" s="86"/>
    </row>
    <row r="9" spans="1:15">
      <c r="A9" s="86" t="s">
        <v>18</v>
      </c>
      <c r="B9" s="86" t="s">
        <v>18</v>
      </c>
      <c r="C9" s="86"/>
    </row>
    <row r="10" spans="1:15" ht="15.75">
      <c r="A10" s="88" t="s">
        <v>19</v>
      </c>
      <c r="B10" s="86"/>
      <c r="C10" s="86"/>
    </row>
    <row r="11" spans="1:15" ht="15.75">
      <c r="A11" s="88" t="s">
        <v>20</v>
      </c>
      <c r="B11" s="273" t="s">
        <v>21</v>
      </c>
      <c r="C11" s="273" t="s">
        <v>198</v>
      </c>
      <c r="D11" s="88" t="s">
        <v>18</v>
      </c>
      <c r="E11" s="88" t="s">
        <v>22</v>
      </c>
      <c r="F11" s="88" t="s">
        <v>7</v>
      </c>
      <c r="G11" s="88" t="s">
        <v>13</v>
      </c>
      <c r="H11" s="88" t="s">
        <v>16</v>
      </c>
      <c r="I11" s="274" t="s">
        <v>23</v>
      </c>
      <c r="J11" s="274" t="s">
        <v>24</v>
      </c>
      <c r="K11" s="274" t="s">
        <v>25</v>
      </c>
      <c r="L11" s="274" t="s">
        <v>26</v>
      </c>
      <c r="M11" s="274" t="s">
        <v>27</v>
      </c>
      <c r="N11" s="274" t="s">
        <v>28</v>
      </c>
      <c r="O11" s="88" t="s">
        <v>11</v>
      </c>
    </row>
    <row r="12" spans="1:15" ht="15.75">
      <c r="A12" s="92" t="s">
        <v>291</v>
      </c>
      <c r="B12" s="275">
        <v>1</v>
      </c>
      <c r="C12" s="275"/>
      <c r="D12" s="92" t="s">
        <v>18</v>
      </c>
      <c r="E12" s="92" t="s">
        <v>2</v>
      </c>
      <c r="F12" s="86" t="s">
        <v>292</v>
      </c>
      <c r="G12" s="92" t="s">
        <v>58</v>
      </c>
      <c r="H12" s="92" t="s">
        <v>30</v>
      </c>
      <c r="I12" s="276">
        <v>0</v>
      </c>
      <c r="J12" s="276" t="s">
        <v>31</v>
      </c>
      <c r="K12" s="276" t="s">
        <v>31</v>
      </c>
      <c r="L12" s="276" t="s">
        <v>31</v>
      </c>
      <c r="M12" s="276" t="s">
        <v>31</v>
      </c>
      <c r="N12" s="276" t="s">
        <v>31</v>
      </c>
      <c r="O12" s="92" t="s">
        <v>294</v>
      </c>
    </row>
    <row r="13" spans="1:15" ht="15.75">
      <c r="A13" s="86" t="s">
        <v>38</v>
      </c>
      <c r="B13" s="271">
        <f>1420*4*9.83251430822759*0.226045</f>
        <v>12624.315157842777</v>
      </c>
      <c r="D13" s="86" t="s">
        <v>39</v>
      </c>
      <c r="E13" s="93" t="s">
        <v>40</v>
      </c>
      <c r="F13" s="86" t="s">
        <v>29</v>
      </c>
      <c r="G13" s="86" t="s">
        <v>14</v>
      </c>
      <c r="H13" s="86" t="s">
        <v>33</v>
      </c>
      <c r="I13" s="272">
        <v>2</v>
      </c>
      <c r="J13" s="276">
        <f>LN(B13)</f>
        <v>9.4433800077489067</v>
      </c>
      <c r="K13" s="272">
        <v>0.03</v>
      </c>
      <c r="L13" s="276" t="s">
        <v>31</v>
      </c>
      <c r="M13" s="276" t="s">
        <v>31</v>
      </c>
      <c r="N13" s="276" t="s">
        <v>31</v>
      </c>
      <c r="O13" t="s">
        <v>295</v>
      </c>
    </row>
    <row r="14" spans="1:15" ht="15.75">
      <c r="A14" s="86" t="s">
        <v>296</v>
      </c>
      <c r="B14" s="271">
        <f>1420*4*0.045209</f>
        <v>256.78712000000002</v>
      </c>
      <c r="D14" s="86" t="s">
        <v>37</v>
      </c>
      <c r="E14" s="93" t="s">
        <v>40</v>
      </c>
      <c r="F14" s="86" t="s">
        <v>29</v>
      </c>
      <c r="G14" s="86" t="s">
        <v>58</v>
      </c>
      <c r="H14" s="86" t="s">
        <v>33</v>
      </c>
      <c r="I14" s="272">
        <v>2</v>
      </c>
      <c r="J14" s="276">
        <f>LN(B14)</f>
        <v>5.5482474147947238</v>
      </c>
      <c r="K14" s="272">
        <v>0.03</v>
      </c>
      <c r="L14" s="276" t="s">
        <v>31</v>
      </c>
      <c r="M14" s="276" t="s">
        <v>31</v>
      </c>
      <c r="N14" s="276" t="s">
        <v>31</v>
      </c>
    </row>
    <row r="15" spans="1:15" ht="15.75">
      <c r="A15" s="277" t="str">
        <f>A27</f>
        <v>graphene sulfur composite</v>
      </c>
      <c r="B15" s="271">
        <f>1420*4*0.16953375</f>
        <v>962.95170000000007</v>
      </c>
      <c r="D15" s="86" t="s">
        <v>37</v>
      </c>
      <c r="E15" s="93" t="s">
        <v>2</v>
      </c>
      <c r="F15" s="86" t="s">
        <v>292</v>
      </c>
      <c r="G15" s="86" t="s">
        <v>128</v>
      </c>
      <c r="H15" s="86" t="s">
        <v>33</v>
      </c>
      <c r="I15" s="272">
        <v>0</v>
      </c>
      <c r="J15" s="276" t="s">
        <v>31</v>
      </c>
      <c r="K15" s="276" t="s">
        <v>31</v>
      </c>
      <c r="L15" s="276" t="s">
        <v>31</v>
      </c>
      <c r="M15" s="276" t="s">
        <v>31</v>
      </c>
      <c r="N15" s="276" t="s">
        <v>31</v>
      </c>
      <c r="O15" s="86" t="s">
        <v>297</v>
      </c>
    </row>
    <row r="16" spans="1:15" ht="15.75">
      <c r="A16" s="278" t="s">
        <v>298</v>
      </c>
      <c r="B16" s="279">
        <f>1420*4*0.01130225</f>
        <v>64.196780000000004</v>
      </c>
      <c r="D16" s="86" t="s">
        <v>37</v>
      </c>
      <c r="E16" s="93" t="s">
        <v>40</v>
      </c>
      <c r="F16" s="86" t="s">
        <v>29</v>
      </c>
      <c r="G16" s="86" t="s">
        <v>58</v>
      </c>
      <c r="H16" s="86" t="s">
        <v>33</v>
      </c>
      <c r="I16" s="272">
        <v>2</v>
      </c>
      <c r="J16" s="276">
        <f t="shared" ref="J16" si="0">LN(B16)</f>
        <v>4.161953053674833</v>
      </c>
      <c r="K16" s="272">
        <v>0.03</v>
      </c>
      <c r="L16" s="276" t="s">
        <v>31</v>
      </c>
      <c r="M16" s="276" t="s">
        <v>31</v>
      </c>
      <c r="N16" s="276" t="s">
        <v>31</v>
      </c>
      <c r="O16" s="88"/>
    </row>
    <row r="17" spans="1:15" s="91" customFormat="1" ht="15.75">
      <c r="A17" s="280" t="s">
        <v>5</v>
      </c>
      <c r="B17" s="281" t="s">
        <v>299</v>
      </c>
      <c r="C17" s="281"/>
      <c r="D17" s="90"/>
      <c r="I17" s="282"/>
      <c r="J17" s="282"/>
      <c r="K17" s="282"/>
      <c r="L17" s="282"/>
      <c r="M17" s="282"/>
      <c r="N17" s="282"/>
    </row>
    <row r="18" spans="1:15">
      <c r="A18" s="86" t="s">
        <v>7</v>
      </c>
      <c r="B18" s="271" t="s">
        <v>292</v>
      </c>
    </row>
    <row r="19" spans="1:15">
      <c r="A19" s="86" t="s">
        <v>9</v>
      </c>
      <c r="B19" s="86" t="str">
        <f ca="1">UPPER(CONCATENATE(DEC2HEX(RANDBETWEEN(0,POWER(16,8)),8),DEC2HEX(RANDBETWEEN(0,POWER(16,4)),4),"4",DEC2HEX(RANDBETWEEN(0,POWER(16,3)),3),DEC2HEX(RANDBETWEEN(8,11)),DEC2HEX(RANDBETWEEN(0,POWER(16,3)),3),DEC2HEX(RANDBETWEEN(0,POWER(16,8)),8),DEC2HEX(RANDBETWEEN(0,POWER(16,4)),4)))</f>
        <v>08594EC921B84F688FFFF2FEE4CF4B1C</v>
      </c>
    </row>
    <row r="20" spans="1:15">
      <c r="A20" s="86" t="s">
        <v>11</v>
      </c>
      <c r="B20" s="271" t="s">
        <v>293</v>
      </c>
    </row>
    <row r="21" spans="1:15">
      <c r="A21" s="86" t="s">
        <v>13</v>
      </c>
      <c r="B21" s="271" t="s">
        <v>128</v>
      </c>
    </row>
    <row r="22" spans="1:15">
      <c r="A22" s="86" t="s">
        <v>15</v>
      </c>
      <c r="B22" s="271">
        <v>1</v>
      </c>
    </row>
    <row r="23" spans="1:15">
      <c r="A23" s="86" t="s">
        <v>16</v>
      </c>
      <c r="B23" s="271" t="s">
        <v>17</v>
      </c>
    </row>
    <row r="24" spans="1:15">
      <c r="A24" s="86" t="s">
        <v>18</v>
      </c>
      <c r="B24" s="271" t="s">
        <v>37</v>
      </c>
    </row>
    <row r="25" spans="1:15" ht="15.75">
      <c r="A25" s="88" t="s">
        <v>19</v>
      </c>
    </row>
    <row r="26" spans="1:15" ht="15.75">
      <c r="A26" s="88" t="s">
        <v>20</v>
      </c>
      <c r="B26" s="273" t="s">
        <v>21</v>
      </c>
      <c r="C26" s="273" t="s">
        <v>198</v>
      </c>
      <c r="D26" s="88" t="s">
        <v>18</v>
      </c>
      <c r="E26" s="88" t="s">
        <v>22</v>
      </c>
      <c r="F26" s="88" t="s">
        <v>7</v>
      </c>
      <c r="G26" s="88" t="s">
        <v>13</v>
      </c>
      <c r="H26" s="88" t="s">
        <v>16</v>
      </c>
      <c r="I26" s="274" t="s">
        <v>23</v>
      </c>
      <c r="J26" s="274" t="s">
        <v>24</v>
      </c>
      <c r="K26" s="274" t="s">
        <v>25</v>
      </c>
      <c r="L26" s="274" t="s">
        <v>26</v>
      </c>
      <c r="M26" s="274" t="s">
        <v>27</v>
      </c>
      <c r="N26" s="274" t="s">
        <v>28</v>
      </c>
      <c r="O26" s="88" t="s">
        <v>11</v>
      </c>
    </row>
    <row r="27" spans="1:15" ht="15.75">
      <c r="A27" s="275" t="str">
        <f>B17</f>
        <v>graphene sulfur composite</v>
      </c>
      <c r="B27" s="275">
        <v>1</v>
      </c>
      <c r="C27" s="275"/>
      <c r="D27" s="92" t="s">
        <v>37</v>
      </c>
      <c r="E27" s="92" t="s">
        <v>2</v>
      </c>
      <c r="F27" s="86" t="s">
        <v>292</v>
      </c>
      <c r="G27" s="92" t="s">
        <v>128</v>
      </c>
      <c r="H27" s="92" t="s">
        <v>30</v>
      </c>
      <c r="I27" s="276">
        <v>2</v>
      </c>
      <c r="J27" s="276">
        <v>0</v>
      </c>
      <c r="K27" s="276">
        <v>0.03</v>
      </c>
      <c r="L27" s="276" t="s">
        <v>31</v>
      </c>
      <c r="M27" s="276" t="s">
        <v>31</v>
      </c>
      <c r="N27" s="276" t="s">
        <v>31</v>
      </c>
      <c r="O27" s="92" t="s">
        <v>300</v>
      </c>
    </row>
    <row r="28" spans="1:15" ht="15.75">
      <c r="A28" s="94" t="s">
        <v>301</v>
      </c>
      <c r="B28" s="271">
        <v>0.158</v>
      </c>
      <c r="D28" s="86" t="s">
        <v>37</v>
      </c>
      <c r="E28" s="93" t="s">
        <v>40</v>
      </c>
      <c r="F28" s="86" t="s">
        <v>29</v>
      </c>
      <c r="G28" s="86" t="s">
        <v>128</v>
      </c>
      <c r="H28" s="86" t="s">
        <v>33</v>
      </c>
      <c r="I28" s="272">
        <v>0</v>
      </c>
      <c r="J28" s="276" t="s">
        <v>31</v>
      </c>
      <c r="K28" s="276" t="s">
        <v>31</v>
      </c>
      <c r="L28" s="276" t="s">
        <v>31</v>
      </c>
      <c r="M28" s="276" t="s">
        <v>31</v>
      </c>
      <c r="N28" s="276" t="s">
        <v>31</v>
      </c>
      <c r="O28" s="86" t="s">
        <v>302</v>
      </c>
    </row>
    <row r="29" spans="1:15" ht="15.75">
      <c r="A29" s="94" t="s">
        <v>303</v>
      </c>
      <c r="B29" s="271">
        <v>4</v>
      </c>
      <c r="C29" s="271" t="s">
        <v>304</v>
      </c>
      <c r="D29" s="86" t="s">
        <v>37</v>
      </c>
      <c r="E29" s="93" t="s">
        <v>40</v>
      </c>
      <c r="F29" s="86" t="s">
        <v>29</v>
      </c>
      <c r="G29" s="86" t="s">
        <v>128</v>
      </c>
      <c r="H29" s="86" t="s">
        <v>33</v>
      </c>
      <c r="I29" s="272">
        <v>0</v>
      </c>
      <c r="J29" s="276" t="s">
        <v>31</v>
      </c>
      <c r="K29" s="276" t="s">
        <v>31</v>
      </c>
      <c r="L29" s="276" t="s">
        <v>31</v>
      </c>
      <c r="M29" s="276" t="s">
        <v>31</v>
      </c>
      <c r="N29" s="276" t="s">
        <v>31</v>
      </c>
      <c r="O29" s="86" t="s">
        <v>305</v>
      </c>
    </row>
    <row r="30" spans="1:15" ht="15.75">
      <c r="A30" s="94" t="s">
        <v>306</v>
      </c>
      <c r="B30" s="271">
        <v>6.3E-2</v>
      </c>
      <c r="D30" s="86" t="s">
        <v>37</v>
      </c>
      <c r="E30" s="93" t="s">
        <v>40</v>
      </c>
      <c r="F30" s="86" t="s">
        <v>29</v>
      </c>
      <c r="G30" s="86" t="s">
        <v>128</v>
      </c>
      <c r="H30" s="86" t="s">
        <v>33</v>
      </c>
      <c r="I30" s="272">
        <v>0</v>
      </c>
      <c r="J30" s="276" t="s">
        <v>31</v>
      </c>
      <c r="K30" s="276" t="s">
        <v>31</v>
      </c>
      <c r="L30" s="276" t="s">
        <v>31</v>
      </c>
      <c r="M30" s="276" t="s">
        <v>31</v>
      </c>
      <c r="N30" s="276" t="s">
        <v>31</v>
      </c>
      <c r="O30" s="86" t="s">
        <v>307</v>
      </c>
    </row>
    <row r="31" spans="1:15" ht="15.75">
      <c r="A31" s="94" t="s">
        <v>308</v>
      </c>
      <c r="B31" s="271">
        <v>1.85</v>
      </c>
      <c r="D31" s="86" t="s">
        <v>37</v>
      </c>
      <c r="E31" s="93" t="s">
        <v>40</v>
      </c>
      <c r="F31" s="86" t="s">
        <v>29</v>
      </c>
      <c r="G31" s="86" t="s">
        <v>128</v>
      </c>
      <c r="H31" s="86" t="s">
        <v>33</v>
      </c>
      <c r="I31" s="272">
        <v>0</v>
      </c>
      <c r="J31" s="276" t="s">
        <v>31</v>
      </c>
      <c r="K31" s="276" t="s">
        <v>31</v>
      </c>
      <c r="L31" s="276" t="s">
        <v>31</v>
      </c>
      <c r="M31" s="276" t="s">
        <v>31</v>
      </c>
      <c r="N31" s="276" t="s">
        <v>31</v>
      </c>
    </row>
    <row r="32" spans="1:15" ht="15.75">
      <c r="A32" s="42" t="s">
        <v>309</v>
      </c>
      <c r="B32" s="271">
        <v>-5.0709999999999997</v>
      </c>
      <c r="D32" s="86" t="s">
        <v>37</v>
      </c>
      <c r="E32" s="93" t="s">
        <v>40</v>
      </c>
      <c r="F32" s="86" t="s">
        <v>29</v>
      </c>
      <c r="G32" s="86" t="s">
        <v>128</v>
      </c>
      <c r="H32" s="86" t="s">
        <v>33</v>
      </c>
      <c r="I32" s="272">
        <v>0</v>
      </c>
      <c r="J32" s="276" t="s">
        <v>31</v>
      </c>
      <c r="K32" s="276" t="s">
        <v>31</v>
      </c>
      <c r="L32" s="276" t="s">
        <v>31</v>
      </c>
      <c r="M32" s="276" t="s">
        <v>31</v>
      </c>
      <c r="N32" s="276" t="s">
        <v>31</v>
      </c>
      <c r="O32" s="86" t="s">
        <v>310</v>
      </c>
    </row>
    <row r="33" spans="1:15" s="91" customFormat="1" ht="15.75">
      <c r="A33" s="280" t="s">
        <v>5</v>
      </c>
      <c r="B33" s="281" t="s">
        <v>311</v>
      </c>
      <c r="C33" s="281"/>
      <c r="D33" s="90"/>
      <c r="I33" s="282"/>
      <c r="J33" s="282"/>
      <c r="K33" s="282"/>
      <c r="L33" s="282"/>
      <c r="M33" s="282"/>
      <c r="N33" s="282"/>
    </row>
    <row r="34" spans="1:15">
      <c r="A34" s="86" t="s">
        <v>7</v>
      </c>
      <c r="B34" s="271" t="s">
        <v>292</v>
      </c>
    </row>
    <row r="35" spans="1:15">
      <c r="A35" s="86" t="s">
        <v>9</v>
      </c>
      <c r="B35" s="86" t="str">
        <f ca="1">UPPER(CONCATENATE(DEC2HEX(RANDBETWEEN(0,POWER(16,8)),8),DEC2HEX(RANDBETWEEN(0,POWER(16,4)),4),"4",DEC2HEX(RANDBETWEEN(0,POWER(16,3)),3),DEC2HEX(RANDBETWEEN(8,11)),DEC2HEX(RANDBETWEEN(0,POWER(16,3)),3),DEC2HEX(RANDBETWEEN(0,POWER(16,8)),8),DEC2HEX(RANDBETWEEN(0,POWER(16,4)),4)))</f>
        <v>1F70E267A1FF4CED8AEF60125FB874DC</v>
      </c>
    </row>
    <row r="36" spans="1:15">
      <c r="A36" s="86" t="s">
        <v>11</v>
      </c>
      <c r="B36" s="271" t="s">
        <v>293</v>
      </c>
    </row>
    <row r="37" spans="1:15">
      <c r="A37" s="86" t="s">
        <v>13</v>
      </c>
      <c r="B37" s="271" t="s">
        <v>58</v>
      </c>
    </row>
    <row r="38" spans="1:15">
      <c r="A38" s="86" t="s">
        <v>15</v>
      </c>
      <c r="B38" s="271">
        <v>1</v>
      </c>
    </row>
    <row r="39" spans="1:15">
      <c r="A39" s="86" t="s">
        <v>16</v>
      </c>
      <c r="B39" s="271" t="s">
        <v>17</v>
      </c>
    </row>
    <row r="40" spans="1:15">
      <c r="A40" s="86" t="s">
        <v>18</v>
      </c>
      <c r="B40" s="271" t="s">
        <v>18</v>
      </c>
    </row>
    <row r="41" spans="1:15" ht="15.75">
      <c r="A41" s="88" t="s">
        <v>19</v>
      </c>
    </row>
    <row r="42" spans="1:15" ht="15.75">
      <c r="A42" s="88" t="s">
        <v>20</v>
      </c>
      <c r="B42" s="273" t="s">
        <v>21</v>
      </c>
      <c r="C42" s="273" t="s">
        <v>198</v>
      </c>
      <c r="D42" s="88" t="s">
        <v>18</v>
      </c>
      <c r="E42" s="88" t="s">
        <v>22</v>
      </c>
      <c r="F42" s="88" t="s">
        <v>7</v>
      </c>
      <c r="G42" s="88" t="s">
        <v>13</v>
      </c>
      <c r="H42" s="88" t="s">
        <v>16</v>
      </c>
      <c r="I42" s="274" t="s">
        <v>23</v>
      </c>
      <c r="J42" s="274" t="s">
        <v>24</v>
      </c>
      <c r="K42" s="274" t="s">
        <v>25</v>
      </c>
      <c r="L42" s="274" t="s">
        <v>26</v>
      </c>
      <c r="M42" s="274" t="s">
        <v>27</v>
      </c>
      <c r="N42" s="274" t="s">
        <v>28</v>
      </c>
      <c r="O42" s="88" t="s">
        <v>11</v>
      </c>
    </row>
    <row r="43" spans="1:15" ht="15.75">
      <c r="A43" s="92" t="s">
        <v>311</v>
      </c>
      <c r="B43" s="275">
        <v>1</v>
      </c>
      <c r="C43" s="275"/>
      <c r="D43" s="92" t="s">
        <v>18</v>
      </c>
      <c r="E43" s="92" t="s">
        <v>2</v>
      </c>
      <c r="F43" s="86" t="s">
        <v>292</v>
      </c>
      <c r="G43" s="92" t="s">
        <v>58</v>
      </c>
      <c r="H43" s="92" t="s">
        <v>30</v>
      </c>
      <c r="I43" s="276">
        <v>0</v>
      </c>
      <c r="J43" s="276" t="s">
        <v>31</v>
      </c>
      <c r="K43" s="276" t="s">
        <v>31</v>
      </c>
      <c r="L43" s="276" t="s">
        <v>31</v>
      </c>
      <c r="M43" s="276" t="s">
        <v>31</v>
      </c>
      <c r="N43" s="276" t="s">
        <v>31</v>
      </c>
      <c r="O43" s="92" t="s">
        <v>294</v>
      </c>
    </row>
    <row r="44" spans="1:15" ht="15.75">
      <c r="A44" s="86" t="s">
        <v>312</v>
      </c>
      <c r="B44" s="271">
        <f>1420*4*0.07</f>
        <v>397.6</v>
      </c>
      <c r="D44" s="86" t="s">
        <v>37</v>
      </c>
      <c r="E44" s="93" t="s">
        <v>40</v>
      </c>
      <c r="F44" s="86" t="s">
        <v>29</v>
      </c>
      <c r="G44" s="86" t="s">
        <v>58</v>
      </c>
      <c r="H44" s="86" t="s">
        <v>33</v>
      </c>
      <c r="I44" s="272">
        <v>2</v>
      </c>
      <c r="J44" s="272">
        <v>5.9992630595090386</v>
      </c>
      <c r="K44" s="272">
        <v>0.03</v>
      </c>
      <c r="L44" s="276" t="s">
        <v>31</v>
      </c>
      <c r="M44" s="276" t="s">
        <v>31</v>
      </c>
      <c r="N44" s="276" t="s">
        <v>31</v>
      </c>
    </row>
    <row r="45" spans="1:15" ht="15.75">
      <c r="A45" s="86" t="s">
        <v>38</v>
      </c>
      <c r="B45" s="271">
        <f>1420*4*9.586028476*0.07</f>
        <v>3811.4049220576003</v>
      </c>
      <c r="D45" s="86" t="s">
        <v>39</v>
      </c>
      <c r="E45" s="93" t="s">
        <v>40</v>
      </c>
      <c r="F45" s="86" t="s">
        <v>29</v>
      </c>
      <c r="G45" s="86" t="s">
        <v>58</v>
      </c>
      <c r="H45" s="86" t="s">
        <v>33</v>
      </c>
      <c r="I45" s="272">
        <v>2</v>
      </c>
      <c r="J45" s="276">
        <f>LN(B45)</f>
        <v>8.2457531460975453</v>
      </c>
      <c r="K45" s="272">
        <v>0.03</v>
      </c>
      <c r="L45" s="276" t="s">
        <v>31</v>
      </c>
      <c r="M45" s="276" t="s">
        <v>31</v>
      </c>
      <c r="N45" s="276" t="s">
        <v>31</v>
      </c>
      <c r="O45" s="86" t="s">
        <v>313</v>
      </c>
    </row>
    <row r="46" spans="1:15" s="91" customFormat="1" ht="15.75">
      <c r="A46" s="280" t="s">
        <v>5</v>
      </c>
      <c r="B46" s="281" t="s">
        <v>314</v>
      </c>
      <c r="C46" s="281"/>
      <c r="D46" s="90"/>
      <c r="I46" s="282"/>
      <c r="J46" s="282"/>
      <c r="K46" s="282"/>
      <c r="L46" s="282"/>
      <c r="M46" s="282"/>
      <c r="N46" s="282"/>
    </row>
    <row r="47" spans="1:15">
      <c r="A47" s="86" t="s">
        <v>7</v>
      </c>
      <c r="B47" s="271" t="s">
        <v>292</v>
      </c>
    </row>
    <row r="48" spans="1:15">
      <c r="A48" s="86" t="s">
        <v>9</v>
      </c>
      <c r="B48" s="86" t="str">
        <f ca="1">UPPER(CONCATENATE(DEC2HEX(RANDBETWEEN(0,POWER(16,8)),8),DEC2HEX(RANDBETWEEN(0,POWER(16,4)),4),"4",DEC2HEX(RANDBETWEEN(0,POWER(16,3)),3),DEC2HEX(RANDBETWEEN(8,11)),DEC2HEX(RANDBETWEEN(0,POWER(16,3)),3),DEC2HEX(RANDBETWEEN(0,POWER(16,8)),8),DEC2HEX(RANDBETWEEN(0,POWER(16,4)),4)))</f>
        <v>116733B488B7454AAAFA259469BA91E8</v>
      </c>
    </row>
    <row r="49" spans="1:15">
      <c r="A49" s="86" t="s">
        <v>11</v>
      </c>
      <c r="B49" s="271" t="s">
        <v>293</v>
      </c>
    </row>
    <row r="50" spans="1:15">
      <c r="A50" s="86" t="s">
        <v>13</v>
      </c>
      <c r="B50" s="271" t="s">
        <v>58</v>
      </c>
    </row>
    <row r="51" spans="1:15">
      <c r="A51" s="86" t="s">
        <v>15</v>
      </c>
      <c r="B51" s="271">
        <v>1</v>
      </c>
    </row>
    <row r="52" spans="1:15">
      <c r="A52" s="86" t="s">
        <v>16</v>
      </c>
      <c r="B52" s="271" t="s">
        <v>17</v>
      </c>
    </row>
    <row r="53" spans="1:15">
      <c r="A53" s="86" t="s">
        <v>18</v>
      </c>
      <c r="B53" s="271" t="s">
        <v>18</v>
      </c>
    </row>
    <row r="54" spans="1:15" ht="15.75">
      <c r="A54" s="88" t="s">
        <v>19</v>
      </c>
    </row>
    <row r="55" spans="1:15" ht="15.75">
      <c r="A55" s="88" t="s">
        <v>20</v>
      </c>
      <c r="B55" s="273" t="s">
        <v>21</v>
      </c>
      <c r="C55" s="273" t="s">
        <v>198</v>
      </c>
      <c r="D55" s="88" t="s">
        <v>18</v>
      </c>
      <c r="E55" s="88" t="s">
        <v>22</v>
      </c>
      <c r="F55" s="88" t="s">
        <v>7</v>
      </c>
      <c r="G55" s="88" t="s">
        <v>13</v>
      </c>
      <c r="H55" s="88" t="s">
        <v>16</v>
      </c>
      <c r="I55" s="274" t="s">
        <v>23</v>
      </c>
      <c r="J55" s="274" t="s">
        <v>24</v>
      </c>
      <c r="K55" s="274" t="s">
        <v>25</v>
      </c>
      <c r="L55" s="274" t="s">
        <v>26</v>
      </c>
      <c r="M55" s="274" t="s">
        <v>27</v>
      </c>
      <c r="N55" s="274" t="s">
        <v>28</v>
      </c>
      <c r="O55" s="88" t="s">
        <v>11</v>
      </c>
    </row>
    <row r="56" spans="1:15" ht="15.75">
      <c r="A56" s="92" t="s">
        <v>314</v>
      </c>
      <c r="B56" s="275">
        <v>1</v>
      </c>
      <c r="C56" s="275"/>
      <c r="D56" s="92" t="s">
        <v>18</v>
      </c>
      <c r="E56" s="92" t="s">
        <v>2</v>
      </c>
      <c r="F56" s="86" t="s">
        <v>292</v>
      </c>
      <c r="G56" s="86" t="s">
        <v>58</v>
      </c>
      <c r="H56" s="92" t="s">
        <v>30</v>
      </c>
      <c r="I56" s="276">
        <v>0</v>
      </c>
      <c r="J56" s="276" t="s">
        <v>31</v>
      </c>
      <c r="K56" s="276" t="s">
        <v>31</v>
      </c>
      <c r="L56" s="276" t="s">
        <v>31</v>
      </c>
      <c r="M56" s="276" t="s">
        <v>31</v>
      </c>
      <c r="N56" s="276" t="s">
        <v>31</v>
      </c>
      <c r="O56" s="92" t="s">
        <v>294</v>
      </c>
    </row>
    <row r="57" spans="1:15" ht="15.75">
      <c r="A57" s="86" t="s">
        <v>312</v>
      </c>
      <c r="B57" s="271">
        <f>1420*4*0.0074</f>
        <v>42.032000000000004</v>
      </c>
      <c r="D57" s="86" t="s">
        <v>37</v>
      </c>
      <c r="E57" s="93" t="s">
        <v>40</v>
      </c>
      <c r="F57" s="86" t="s">
        <v>29</v>
      </c>
      <c r="G57" s="86" t="s">
        <v>58</v>
      </c>
      <c r="H57" s="86" t="s">
        <v>33</v>
      </c>
      <c r="I57" s="272">
        <v>2</v>
      </c>
      <c r="J57" s="272">
        <f t="shared" ref="J57:J60" si="1">LN(B57)</f>
        <v>3.7384312329431841</v>
      </c>
      <c r="K57" s="272">
        <v>2.8284271E-2</v>
      </c>
      <c r="L57" s="276" t="s">
        <v>31</v>
      </c>
      <c r="M57" s="276" t="s">
        <v>31</v>
      </c>
      <c r="N57" s="276" t="s">
        <v>31</v>
      </c>
    </row>
    <row r="58" spans="1:15" ht="15.75">
      <c r="A58" s="86" t="s">
        <v>315</v>
      </c>
      <c r="B58" s="271">
        <f>1420*4*0.041</f>
        <v>232.88000000000002</v>
      </c>
      <c r="D58" s="86" t="s">
        <v>37</v>
      </c>
      <c r="E58" s="93" t="s">
        <v>40</v>
      </c>
      <c r="F58" s="86" t="s">
        <v>29</v>
      </c>
      <c r="G58" s="86" t="s">
        <v>58</v>
      </c>
      <c r="H58" s="86" t="s">
        <v>33</v>
      </c>
      <c r="I58" s="272">
        <v>2</v>
      </c>
      <c r="J58" s="272">
        <f t="shared" si="1"/>
        <v>5.4505232994373678</v>
      </c>
      <c r="K58" s="272">
        <v>2.8284271E-2</v>
      </c>
      <c r="L58" s="276" t="s">
        <v>31</v>
      </c>
      <c r="M58" s="276" t="s">
        <v>31</v>
      </c>
      <c r="N58" s="276" t="s">
        <v>31</v>
      </c>
    </row>
    <row r="59" spans="1:15" ht="15.75">
      <c r="A59" s="86" t="s">
        <v>316</v>
      </c>
      <c r="B59" s="271">
        <f>1420*4*0.0066</f>
        <v>37.488</v>
      </c>
      <c r="D59" s="86" t="s">
        <v>37</v>
      </c>
      <c r="E59" s="93" t="s">
        <v>40</v>
      </c>
      <c r="F59" s="86" t="s">
        <v>29</v>
      </c>
      <c r="G59" s="86" t="s">
        <v>58</v>
      </c>
      <c r="H59" s="86" t="s">
        <v>33</v>
      </c>
      <c r="I59" s="272">
        <v>2</v>
      </c>
      <c r="J59" s="272">
        <f t="shared" si="1"/>
        <v>3.62402088176544</v>
      </c>
      <c r="K59" s="272">
        <v>2.8284271E-2</v>
      </c>
      <c r="L59" s="276" t="s">
        <v>31</v>
      </c>
      <c r="M59" s="276" t="s">
        <v>31</v>
      </c>
      <c r="N59" s="276" t="s">
        <v>31</v>
      </c>
    </row>
    <row r="60" spans="1:15" ht="15.75">
      <c r="A60" s="283" t="s">
        <v>317</v>
      </c>
      <c r="B60" s="271">
        <f>1420*4*0.0077</f>
        <v>43.736000000000004</v>
      </c>
      <c r="C60" s="94"/>
      <c r="D60" s="86" t="s">
        <v>37</v>
      </c>
      <c r="E60" s="92" t="s">
        <v>2</v>
      </c>
      <c r="F60" s="86" t="s">
        <v>292</v>
      </c>
      <c r="G60" s="86" t="s">
        <v>58</v>
      </c>
      <c r="H60" s="86" t="s">
        <v>33</v>
      </c>
      <c r="I60" s="272">
        <v>2</v>
      </c>
      <c r="J60" s="272">
        <f t="shared" si="1"/>
        <v>3.7781715615926981</v>
      </c>
      <c r="K60" s="272">
        <v>2.8284271E-2</v>
      </c>
      <c r="L60" s="276" t="s">
        <v>31</v>
      </c>
      <c r="M60" s="276" t="s">
        <v>31</v>
      </c>
      <c r="N60" s="276" t="s">
        <v>31</v>
      </c>
      <c r="O60" s="86" t="s">
        <v>318</v>
      </c>
    </row>
    <row r="61" spans="1:15" s="91" customFormat="1" ht="15.75">
      <c r="A61" s="284" t="s">
        <v>5</v>
      </c>
      <c r="B61" s="281" t="s">
        <v>317</v>
      </c>
      <c r="C61" s="281"/>
      <c r="D61" s="90"/>
      <c r="I61" s="282"/>
      <c r="J61" s="282"/>
      <c r="K61" s="282"/>
      <c r="L61" s="282"/>
      <c r="M61" s="282"/>
      <c r="N61" s="282"/>
    </row>
    <row r="62" spans="1:15">
      <c r="A62" s="86" t="s">
        <v>7</v>
      </c>
      <c r="B62" s="271" t="s">
        <v>292</v>
      </c>
    </row>
    <row r="63" spans="1:15">
      <c r="A63" s="86" t="s">
        <v>9</v>
      </c>
      <c r="B63" s="86" t="str">
        <f ca="1">UPPER(CONCATENATE(DEC2HEX(RANDBETWEEN(0,POWER(16,8)),8),DEC2HEX(RANDBETWEEN(0,POWER(16,4)),4),"4",DEC2HEX(RANDBETWEEN(0,POWER(16,3)),3),DEC2HEX(RANDBETWEEN(8,11)),DEC2HEX(RANDBETWEEN(0,POWER(16,3)),3),DEC2HEX(RANDBETWEEN(0,POWER(16,8)),8),DEC2HEX(RANDBETWEEN(0,POWER(16,4)),4)))</f>
        <v>A94B709FB8034ABE8949B86ADEC457E6</v>
      </c>
    </row>
    <row r="64" spans="1:15">
      <c r="A64" s="86" t="s">
        <v>11</v>
      </c>
      <c r="B64" s="271" t="s">
        <v>293</v>
      </c>
    </row>
    <row r="65" spans="1:15">
      <c r="A65" s="86" t="s">
        <v>13</v>
      </c>
      <c r="B65" s="271" t="s">
        <v>58</v>
      </c>
    </row>
    <row r="66" spans="1:15">
      <c r="A66" s="86" t="s">
        <v>15</v>
      </c>
      <c r="B66" s="271">
        <v>1</v>
      </c>
    </row>
    <row r="67" spans="1:15">
      <c r="A67" s="86" t="s">
        <v>16</v>
      </c>
      <c r="B67" s="271" t="s">
        <v>17</v>
      </c>
    </row>
    <row r="68" spans="1:15">
      <c r="A68" s="86" t="s">
        <v>18</v>
      </c>
      <c r="B68" s="271" t="s">
        <v>37</v>
      </c>
    </row>
    <row r="69" spans="1:15" ht="15.75">
      <c r="A69" s="88" t="s">
        <v>19</v>
      </c>
    </row>
    <row r="70" spans="1:15" ht="15.75">
      <c r="A70" s="88" t="s">
        <v>20</v>
      </c>
      <c r="B70" s="273" t="s">
        <v>21</v>
      </c>
      <c r="C70" s="273" t="s">
        <v>198</v>
      </c>
      <c r="D70" s="88" t="s">
        <v>18</v>
      </c>
      <c r="E70" s="88" t="s">
        <v>22</v>
      </c>
      <c r="F70" s="88" t="s">
        <v>7</v>
      </c>
      <c r="G70" s="88" t="s">
        <v>13</v>
      </c>
      <c r="H70" s="88" t="s">
        <v>16</v>
      </c>
      <c r="I70" s="274" t="s">
        <v>23</v>
      </c>
      <c r="J70" s="274" t="s">
        <v>24</v>
      </c>
      <c r="K70" s="274" t="s">
        <v>25</v>
      </c>
      <c r="L70" s="274" t="s">
        <v>26</v>
      </c>
      <c r="M70" s="274" t="s">
        <v>27</v>
      </c>
      <c r="N70" s="274" t="s">
        <v>28</v>
      </c>
      <c r="O70" s="88" t="s">
        <v>11</v>
      </c>
    </row>
    <row r="71" spans="1:15" ht="15.75">
      <c r="A71" s="275" t="str">
        <f>B61</f>
        <v>germanium</v>
      </c>
      <c r="B71" s="275">
        <v>1</v>
      </c>
      <c r="C71" s="275"/>
      <c r="D71" s="92" t="s">
        <v>37</v>
      </c>
      <c r="E71" s="92" t="s">
        <v>2</v>
      </c>
      <c r="F71" s="86" t="s">
        <v>292</v>
      </c>
      <c r="G71" s="92" t="s">
        <v>58</v>
      </c>
      <c r="H71" s="92" t="s">
        <v>30</v>
      </c>
      <c r="I71" s="276">
        <v>0</v>
      </c>
      <c r="J71" s="276" t="s">
        <v>31</v>
      </c>
      <c r="K71" s="276" t="s">
        <v>31</v>
      </c>
      <c r="L71" s="276" t="s">
        <v>31</v>
      </c>
      <c r="M71" s="276" t="s">
        <v>31</v>
      </c>
      <c r="N71" s="276" t="s">
        <v>31</v>
      </c>
      <c r="O71" s="92" t="s">
        <v>319</v>
      </c>
    </row>
    <row r="72" spans="1:15" ht="15.75">
      <c r="A72" t="s">
        <v>320</v>
      </c>
      <c r="B72" s="271">
        <f>1/0.0176*4*0.25</f>
        <v>56.818181818181813</v>
      </c>
      <c r="C72" s="94" t="s">
        <v>321</v>
      </c>
      <c r="D72" s="86" t="s">
        <v>37</v>
      </c>
      <c r="E72" s="93" t="s">
        <v>40</v>
      </c>
      <c r="F72" s="86" t="s">
        <v>29</v>
      </c>
      <c r="G72" s="86" t="s">
        <v>58</v>
      </c>
      <c r="H72" s="86" t="s">
        <v>33</v>
      </c>
      <c r="I72" s="272">
        <v>0</v>
      </c>
      <c r="J72" s="276" t="s">
        <v>31</v>
      </c>
      <c r="K72" s="276" t="s">
        <v>31</v>
      </c>
      <c r="L72" s="276" t="s">
        <v>31</v>
      </c>
      <c r="M72" s="276" t="s">
        <v>31</v>
      </c>
      <c r="N72" s="276" t="s">
        <v>31</v>
      </c>
      <c r="O72" s="86" t="s">
        <v>322</v>
      </c>
    </row>
    <row r="73" spans="1:15" ht="15.75">
      <c r="A73" s="94" t="s">
        <v>308</v>
      </c>
      <c r="B73" s="271">
        <f>4*((1)/72.612*1000)*(35.45+1.01)/1000</f>
        <v>2.0084834462623258</v>
      </c>
      <c r="C73" s="94"/>
      <c r="D73" s="86" t="s">
        <v>37</v>
      </c>
      <c r="E73" s="93" t="s">
        <v>40</v>
      </c>
      <c r="F73" s="86" t="s">
        <v>29</v>
      </c>
      <c r="G73" s="86" t="s">
        <v>128</v>
      </c>
      <c r="H73" s="86" t="s">
        <v>33</v>
      </c>
      <c r="I73" s="272">
        <v>0</v>
      </c>
      <c r="J73" s="276" t="s">
        <v>31</v>
      </c>
      <c r="K73" s="276" t="s">
        <v>31</v>
      </c>
      <c r="L73" s="276" t="s">
        <v>31</v>
      </c>
      <c r="M73" s="276" t="s">
        <v>31</v>
      </c>
      <c r="N73" s="276" t="s">
        <v>31</v>
      </c>
      <c r="O73" s="86" t="s">
        <v>323</v>
      </c>
    </row>
    <row r="74" spans="1:15" ht="15.75">
      <c r="A74" s="86" t="s">
        <v>38</v>
      </c>
      <c r="B74" s="271">
        <f>4714*0.25</f>
        <v>1178.5</v>
      </c>
      <c r="D74" s="86" t="s">
        <v>39</v>
      </c>
      <c r="E74" s="93" t="s">
        <v>40</v>
      </c>
      <c r="F74" s="86" t="s">
        <v>29</v>
      </c>
      <c r="G74" s="86" t="s">
        <v>58</v>
      </c>
      <c r="H74" s="86" t="s">
        <v>33</v>
      </c>
      <c r="I74" s="272">
        <v>5</v>
      </c>
      <c r="J74" s="276">
        <f>B74</f>
        <v>1178.5</v>
      </c>
      <c r="K74" s="276" t="s">
        <v>31</v>
      </c>
      <c r="L74" s="276" t="s">
        <v>31</v>
      </c>
      <c r="M74" s="276">
        <v>230</v>
      </c>
      <c r="N74" s="276">
        <v>8038</v>
      </c>
      <c r="O74" s="86" t="s">
        <v>324</v>
      </c>
    </row>
    <row r="75" spans="1:15" s="91" customFormat="1" ht="15.75">
      <c r="A75" s="280" t="s">
        <v>5</v>
      </c>
      <c r="B75" s="281" t="s">
        <v>325</v>
      </c>
      <c r="C75" s="281"/>
      <c r="D75" s="90"/>
      <c r="I75" s="282"/>
      <c r="J75" s="282"/>
      <c r="K75" s="282"/>
      <c r="L75" s="282"/>
      <c r="M75" s="282"/>
      <c r="N75" s="282"/>
    </row>
    <row r="76" spans="1:15">
      <c r="A76" s="86" t="s">
        <v>7</v>
      </c>
      <c r="B76" s="271" t="s">
        <v>292</v>
      </c>
    </row>
    <row r="77" spans="1:15">
      <c r="A77" s="86" t="s">
        <v>9</v>
      </c>
      <c r="B77" s="86" t="str">
        <f ca="1">UPPER(CONCATENATE(DEC2HEX(RANDBETWEEN(0,POWER(16,8)),8),DEC2HEX(RANDBETWEEN(0,POWER(16,4)),4),"4",DEC2HEX(RANDBETWEEN(0,POWER(16,3)),3),DEC2HEX(RANDBETWEEN(8,11)),DEC2HEX(RANDBETWEEN(0,POWER(16,3)),3),DEC2HEX(RANDBETWEEN(0,POWER(16,8)),8),DEC2HEX(RANDBETWEEN(0,POWER(16,4)),4)))</f>
        <v>FB7A6172906B4E3799ABA74486A6ADD9</v>
      </c>
    </row>
    <row r="78" spans="1:15">
      <c r="A78" s="86" t="s">
        <v>11</v>
      </c>
      <c r="B78" s="271" t="s">
        <v>293</v>
      </c>
    </row>
    <row r="79" spans="1:15">
      <c r="A79" s="86" t="s">
        <v>13</v>
      </c>
      <c r="B79" s="271" t="s">
        <v>58</v>
      </c>
    </row>
    <row r="80" spans="1:15">
      <c r="A80" s="86" t="s">
        <v>15</v>
      </c>
      <c r="B80" s="271">
        <v>1</v>
      </c>
    </row>
    <row r="81" spans="1:15">
      <c r="A81" s="86" t="s">
        <v>16</v>
      </c>
      <c r="B81" s="271" t="s">
        <v>17</v>
      </c>
    </row>
    <row r="82" spans="1:15">
      <c r="A82" s="86" t="s">
        <v>18</v>
      </c>
      <c r="B82" s="271" t="s">
        <v>18</v>
      </c>
    </row>
    <row r="83" spans="1:15" ht="15.75">
      <c r="A83" s="88" t="s">
        <v>19</v>
      </c>
    </row>
    <row r="84" spans="1:15" ht="15.75">
      <c r="A84" s="88" t="s">
        <v>20</v>
      </c>
      <c r="B84" s="273" t="s">
        <v>21</v>
      </c>
      <c r="C84" s="273" t="s">
        <v>198</v>
      </c>
      <c r="D84" s="88" t="s">
        <v>18</v>
      </c>
      <c r="E84" s="88" t="s">
        <v>22</v>
      </c>
      <c r="F84" s="88" t="s">
        <v>7</v>
      </c>
      <c r="G84" s="88" t="s">
        <v>13</v>
      </c>
      <c r="H84" s="88" t="s">
        <v>16</v>
      </c>
      <c r="I84" s="274" t="s">
        <v>23</v>
      </c>
      <c r="J84" s="274" t="s">
        <v>24</v>
      </c>
      <c r="K84" s="274" t="s">
        <v>25</v>
      </c>
      <c r="L84" s="274" t="s">
        <v>26</v>
      </c>
      <c r="M84" s="274" t="s">
        <v>27</v>
      </c>
      <c r="N84" s="274" t="s">
        <v>28</v>
      </c>
      <c r="O84" s="88" t="s">
        <v>11</v>
      </c>
    </row>
    <row r="85" spans="1:15" ht="15.75">
      <c r="A85" s="92" t="s">
        <v>325</v>
      </c>
      <c r="B85" s="275">
        <v>1</v>
      </c>
      <c r="C85" s="275"/>
      <c r="D85" s="92" t="s">
        <v>18</v>
      </c>
      <c r="E85" s="92" t="s">
        <v>2</v>
      </c>
      <c r="F85" s="86" t="s">
        <v>292</v>
      </c>
      <c r="G85" s="92" t="s">
        <v>58</v>
      </c>
      <c r="H85" s="92" t="s">
        <v>30</v>
      </c>
      <c r="I85" s="276">
        <v>0</v>
      </c>
      <c r="J85" s="276" t="s">
        <v>31</v>
      </c>
      <c r="K85" s="276" t="s">
        <v>31</v>
      </c>
      <c r="L85" s="276" t="s">
        <v>31</v>
      </c>
      <c r="M85" s="276" t="s">
        <v>31</v>
      </c>
      <c r="N85" s="276" t="s">
        <v>31</v>
      </c>
      <c r="O85" s="92" t="s">
        <v>294</v>
      </c>
    </row>
    <row r="86" spans="1:15" ht="15.75">
      <c r="A86" s="94" t="s">
        <v>326</v>
      </c>
      <c r="B86" s="271">
        <f>1420*4*0.0164989</f>
        <v>93.713751999999999</v>
      </c>
      <c r="D86" s="86" t="s">
        <v>37</v>
      </c>
      <c r="E86" s="93" t="s">
        <v>40</v>
      </c>
      <c r="F86" s="86" t="s">
        <v>29</v>
      </c>
      <c r="G86" s="86" t="s">
        <v>58</v>
      </c>
      <c r="H86" s="86" t="s">
        <v>33</v>
      </c>
      <c r="I86" s="272">
        <v>2</v>
      </c>
      <c r="J86" s="272">
        <f t="shared" ref="J86" si="2">LN(B86)</f>
        <v>4.540244944750607</v>
      </c>
      <c r="K86" s="272">
        <v>0.03</v>
      </c>
      <c r="L86" s="276" t="s">
        <v>31</v>
      </c>
      <c r="M86" s="276" t="s">
        <v>31</v>
      </c>
      <c r="N86" s="276" t="s">
        <v>31</v>
      </c>
    </row>
    <row r="87" spans="1:15" s="91" customFormat="1" ht="15.75">
      <c r="A87" s="280" t="s">
        <v>5</v>
      </c>
      <c r="B87" s="281" t="s">
        <v>327</v>
      </c>
      <c r="C87" s="281"/>
      <c r="D87" s="90"/>
      <c r="I87" s="282"/>
      <c r="J87" s="282"/>
      <c r="K87" s="282"/>
      <c r="L87" s="282"/>
      <c r="M87" s="282"/>
      <c r="N87" s="282"/>
    </row>
    <row r="88" spans="1:15">
      <c r="A88" s="86" t="s">
        <v>7</v>
      </c>
      <c r="B88" s="271" t="s">
        <v>292</v>
      </c>
    </row>
    <row r="89" spans="1:15">
      <c r="A89" s="86" t="s">
        <v>9</v>
      </c>
      <c r="B89" s="86" t="str">
        <f ca="1">UPPER(CONCATENATE(DEC2HEX(RANDBETWEEN(0,POWER(16,8)),8),DEC2HEX(RANDBETWEEN(0,POWER(16,4)),4),"4",DEC2HEX(RANDBETWEEN(0,POWER(16,3)),3),DEC2HEX(RANDBETWEEN(8,11)),DEC2HEX(RANDBETWEEN(0,POWER(16,3)),3),DEC2HEX(RANDBETWEEN(0,POWER(16,8)),8),DEC2HEX(RANDBETWEEN(0,POWER(16,4)),4)))</f>
        <v>F59A00D2AB934BB38E621983B488D284</v>
      </c>
    </row>
    <row r="90" spans="1:15">
      <c r="A90" s="86" t="s">
        <v>11</v>
      </c>
      <c r="B90" s="271" t="s">
        <v>293</v>
      </c>
    </row>
    <row r="91" spans="1:15">
      <c r="A91" s="86" t="s">
        <v>13</v>
      </c>
      <c r="B91" s="271" t="s">
        <v>58</v>
      </c>
    </row>
    <row r="92" spans="1:15">
      <c r="A92" s="86" t="s">
        <v>15</v>
      </c>
      <c r="B92" s="271">
        <v>1</v>
      </c>
    </row>
    <row r="93" spans="1:15">
      <c r="A93" s="86" t="s">
        <v>16</v>
      </c>
      <c r="B93" s="271" t="s">
        <v>17</v>
      </c>
    </row>
    <row r="94" spans="1:15">
      <c r="A94" s="86" t="s">
        <v>18</v>
      </c>
      <c r="B94" s="271" t="s">
        <v>18</v>
      </c>
    </row>
    <row r="95" spans="1:15" ht="15.75">
      <c r="A95" s="88" t="s">
        <v>19</v>
      </c>
    </row>
    <row r="96" spans="1:15" ht="15.75">
      <c r="A96" s="88" t="s">
        <v>20</v>
      </c>
      <c r="B96" s="273" t="s">
        <v>21</v>
      </c>
      <c r="C96" s="273" t="s">
        <v>198</v>
      </c>
      <c r="D96" s="88" t="s">
        <v>18</v>
      </c>
      <c r="E96" s="88" t="s">
        <v>22</v>
      </c>
      <c r="F96" s="88" t="s">
        <v>7</v>
      </c>
      <c r="G96" s="88" t="s">
        <v>13</v>
      </c>
      <c r="H96" s="88" t="s">
        <v>16</v>
      </c>
      <c r="I96" s="274" t="s">
        <v>23</v>
      </c>
      <c r="J96" s="274" t="s">
        <v>24</v>
      </c>
      <c r="K96" s="274" t="s">
        <v>25</v>
      </c>
      <c r="L96" s="274" t="s">
        <v>26</v>
      </c>
      <c r="M96" s="274" t="s">
        <v>27</v>
      </c>
      <c r="N96" s="274" t="s">
        <v>28</v>
      </c>
      <c r="O96" s="88" t="s">
        <v>11</v>
      </c>
    </row>
    <row r="97" spans="1:15" ht="15.75">
      <c r="A97" s="92" t="s">
        <v>327</v>
      </c>
      <c r="B97" s="275">
        <v>1</v>
      </c>
      <c r="C97" s="275"/>
      <c r="D97" s="92" t="s">
        <v>18</v>
      </c>
      <c r="E97" s="92" t="s">
        <v>2</v>
      </c>
      <c r="F97" s="86" t="s">
        <v>292</v>
      </c>
      <c r="G97" s="92" t="s">
        <v>58</v>
      </c>
      <c r="H97" s="92" t="s">
        <v>30</v>
      </c>
      <c r="I97" s="276">
        <v>0</v>
      </c>
      <c r="J97" s="276" t="s">
        <v>31</v>
      </c>
      <c r="K97" s="276" t="s">
        <v>31</v>
      </c>
      <c r="L97" s="276" t="s">
        <v>31</v>
      </c>
      <c r="M97" s="276" t="s">
        <v>31</v>
      </c>
      <c r="N97" s="276" t="s">
        <v>31</v>
      </c>
      <c r="O97" s="92" t="s">
        <v>328</v>
      </c>
    </row>
    <row r="98" spans="1:15" ht="15.75">
      <c r="A98" s="86" t="s">
        <v>329</v>
      </c>
      <c r="B98" s="271">
        <f>1420*4*0.0128525</f>
        <v>73.002200000000002</v>
      </c>
      <c r="D98" s="86" t="s">
        <v>37</v>
      </c>
      <c r="E98" s="93" t="s">
        <v>40</v>
      </c>
      <c r="F98" s="86" t="s">
        <v>29</v>
      </c>
      <c r="G98" s="86" t="s">
        <v>58</v>
      </c>
      <c r="H98" s="86" t="s">
        <v>33</v>
      </c>
      <c r="I98" s="272">
        <v>2</v>
      </c>
      <c r="J98" s="272">
        <f>LN(B98)</f>
        <v>4.2904895776805825</v>
      </c>
      <c r="K98" s="272">
        <v>2.8284271E-2</v>
      </c>
      <c r="L98" s="276" t="s">
        <v>31</v>
      </c>
      <c r="M98" s="276" t="s">
        <v>31</v>
      </c>
      <c r="N98" s="276" t="s">
        <v>31</v>
      </c>
    </row>
    <row r="99" spans="1:15" ht="15.75">
      <c r="A99" s="94" t="s">
        <v>330</v>
      </c>
      <c r="B99" s="271">
        <f>1420*4*0.0020564</f>
        <v>11.680351999999999</v>
      </c>
      <c r="D99" s="86" t="s">
        <v>37</v>
      </c>
      <c r="E99" s="93" t="s">
        <v>40</v>
      </c>
      <c r="F99" s="86" t="s">
        <v>29</v>
      </c>
      <c r="G99" s="86" t="s">
        <v>128</v>
      </c>
      <c r="H99" s="86" t="s">
        <v>33</v>
      </c>
      <c r="I99" s="272">
        <v>2</v>
      </c>
      <c r="J99" s="272">
        <f t="shared" ref="J99:J102" si="3">LN(B99)</f>
        <v>2.4579081139322723</v>
      </c>
      <c r="K99" s="272">
        <v>2.8284271E-2</v>
      </c>
      <c r="L99" s="276" t="s">
        <v>31</v>
      </c>
      <c r="M99" s="276" t="s">
        <v>31</v>
      </c>
      <c r="N99" s="276" t="s">
        <v>31</v>
      </c>
    </row>
    <row r="100" spans="1:15" ht="15.75">
      <c r="A100" s="285" t="s">
        <v>331</v>
      </c>
      <c r="B100" s="271">
        <f>1420*4*0.000642625</f>
        <v>3.6501099999999997</v>
      </c>
      <c r="D100" s="86" t="s">
        <v>37</v>
      </c>
      <c r="E100" s="93" t="s">
        <v>40</v>
      </c>
      <c r="F100" s="86" t="s">
        <v>29</v>
      </c>
      <c r="G100" s="86" t="s">
        <v>58</v>
      </c>
      <c r="H100" s="86" t="s">
        <v>33</v>
      </c>
      <c r="I100" s="272">
        <v>2</v>
      </c>
      <c r="J100" s="272">
        <f t="shared" si="3"/>
        <v>1.2947573041265916</v>
      </c>
      <c r="K100" s="272">
        <v>2.8284271E-2</v>
      </c>
      <c r="L100" s="276" t="s">
        <v>31</v>
      </c>
      <c r="M100" s="276" t="s">
        <v>31</v>
      </c>
      <c r="N100" s="276" t="s">
        <v>31</v>
      </c>
    </row>
    <row r="101" spans="1:15" ht="15.75">
      <c r="A101" s="94" t="s">
        <v>332</v>
      </c>
      <c r="B101" s="271">
        <f>1420*4*0.001927875</f>
        <v>10.950329999999999</v>
      </c>
      <c r="C101" s="94" t="s">
        <v>333</v>
      </c>
      <c r="D101" s="86" t="s">
        <v>37</v>
      </c>
      <c r="E101" s="93" t="s">
        <v>40</v>
      </c>
      <c r="F101" s="86" t="s">
        <v>29</v>
      </c>
      <c r="G101" s="86" t="s">
        <v>58</v>
      </c>
      <c r="H101" s="86" t="s">
        <v>33</v>
      </c>
      <c r="I101" s="272">
        <v>2</v>
      </c>
      <c r="J101" s="272">
        <f t="shared" si="3"/>
        <v>2.3933695927947012</v>
      </c>
      <c r="K101" s="272">
        <v>2.8284271E-2</v>
      </c>
      <c r="L101" s="276" t="s">
        <v>31</v>
      </c>
      <c r="M101" s="276" t="s">
        <v>31</v>
      </c>
      <c r="N101" s="276" t="s">
        <v>31</v>
      </c>
    </row>
    <row r="102" spans="1:15" ht="15.75">
      <c r="A102" t="s">
        <v>334</v>
      </c>
      <c r="B102" s="271">
        <f>1420*4*0.0082256</f>
        <v>46.721407999999997</v>
      </c>
      <c r="D102" s="86" t="s">
        <v>37</v>
      </c>
      <c r="E102" s="93" t="s">
        <v>40</v>
      </c>
      <c r="F102" s="86" t="s">
        <v>29</v>
      </c>
      <c r="G102" s="86" t="s">
        <v>58</v>
      </c>
      <c r="H102" s="86" t="s">
        <v>33</v>
      </c>
      <c r="I102" s="272">
        <v>2</v>
      </c>
      <c r="J102" s="272">
        <f t="shared" si="3"/>
        <v>3.8442024750521631</v>
      </c>
      <c r="K102" s="272">
        <v>2.8284271E-2</v>
      </c>
      <c r="L102" s="276" t="s">
        <v>31</v>
      </c>
      <c r="M102" s="276" t="s">
        <v>31</v>
      </c>
      <c r="N102" s="276" t="s">
        <v>31</v>
      </c>
    </row>
    <row r="103" spans="1:15" s="91" customFormat="1" ht="15.75">
      <c r="A103" s="280" t="s">
        <v>5</v>
      </c>
      <c r="B103" s="281" t="s">
        <v>335</v>
      </c>
      <c r="C103" s="281"/>
      <c r="D103" s="90"/>
      <c r="I103" s="282"/>
      <c r="J103" s="282"/>
      <c r="K103" s="282"/>
      <c r="L103" s="282"/>
      <c r="M103" s="282"/>
      <c r="N103" s="282"/>
    </row>
    <row r="104" spans="1:15">
      <c r="A104" s="86" t="s">
        <v>7</v>
      </c>
      <c r="B104" s="271" t="s">
        <v>292</v>
      </c>
    </row>
    <row r="105" spans="1:15">
      <c r="A105" s="86" t="s">
        <v>9</v>
      </c>
      <c r="B105" s="86" t="str">
        <f ca="1">UPPER(CONCATENATE(DEC2HEX(RANDBETWEEN(0,POWER(16,8)),8),DEC2HEX(RANDBETWEEN(0,POWER(16,4)),4),"4",DEC2HEX(RANDBETWEEN(0,POWER(16,3)),3),DEC2HEX(RANDBETWEEN(8,11)),DEC2HEX(RANDBETWEEN(0,POWER(16,3)),3),DEC2HEX(RANDBETWEEN(0,POWER(16,8)),8),DEC2HEX(RANDBETWEEN(0,POWER(16,4)),4)))</f>
        <v>3842A6C7882840E5B5CCF3A585947D97</v>
      </c>
    </row>
    <row r="106" spans="1:15">
      <c r="A106" s="86" t="s">
        <v>11</v>
      </c>
      <c r="B106" s="271" t="s">
        <v>293</v>
      </c>
    </row>
    <row r="107" spans="1:15">
      <c r="A107" s="86" t="s">
        <v>13</v>
      </c>
      <c r="B107" s="271" t="s">
        <v>58</v>
      </c>
    </row>
    <row r="108" spans="1:15">
      <c r="A108" s="86" t="s">
        <v>15</v>
      </c>
      <c r="B108" s="271">
        <v>1</v>
      </c>
    </row>
    <row r="109" spans="1:15">
      <c r="A109" s="86" t="s">
        <v>16</v>
      </c>
      <c r="B109" s="271" t="s">
        <v>17</v>
      </c>
    </row>
    <row r="110" spans="1:15">
      <c r="A110" s="86" t="s">
        <v>18</v>
      </c>
      <c r="B110" s="271" t="s">
        <v>18</v>
      </c>
    </row>
    <row r="111" spans="1:15" ht="15.75">
      <c r="A111" s="88" t="s">
        <v>19</v>
      </c>
    </row>
    <row r="112" spans="1:15" ht="15.75">
      <c r="A112" s="88" t="s">
        <v>20</v>
      </c>
      <c r="B112" s="273" t="s">
        <v>21</v>
      </c>
      <c r="C112" s="273" t="s">
        <v>198</v>
      </c>
      <c r="D112" s="88" t="s">
        <v>18</v>
      </c>
      <c r="E112" s="88" t="s">
        <v>22</v>
      </c>
      <c r="F112" s="88" t="s">
        <v>7</v>
      </c>
      <c r="G112" s="88" t="s">
        <v>13</v>
      </c>
      <c r="H112" s="88" t="s">
        <v>16</v>
      </c>
      <c r="I112" s="274" t="s">
        <v>23</v>
      </c>
      <c r="J112" s="274" t="s">
        <v>24</v>
      </c>
      <c r="K112" s="274" t="s">
        <v>25</v>
      </c>
      <c r="L112" s="274" t="s">
        <v>26</v>
      </c>
      <c r="M112" s="274" t="s">
        <v>27</v>
      </c>
      <c r="N112" s="274" t="s">
        <v>28</v>
      </c>
      <c r="O112" s="88" t="s">
        <v>11</v>
      </c>
    </row>
    <row r="113" spans="1:15" ht="15.75">
      <c r="A113" s="92" t="s">
        <v>335</v>
      </c>
      <c r="B113" s="286">
        <v>1</v>
      </c>
      <c r="C113" s="286"/>
      <c r="D113" s="92" t="s">
        <v>18</v>
      </c>
      <c r="E113" s="92" t="s">
        <v>2</v>
      </c>
      <c r="F113" s="86" t="s">
        <v>292</v>
      </c>
      <c r="G113" s="92" t="s">
        <v>58</v>
      </c>
      <c r="H113" s="92" t="s">
        <v>30</v>
      </c>
      <c r="I113" s="276">
        <v>0</v>
      </c>
      <c r="J113" s="276" t="s">
        <v>31</v>
      </c>
      <c r="K113" s="276" t="s">
        <v>31</v>
      </c>
      <c r="L113" s="276" t="s">
        <v>31</v>
      </c>
      <c r="M113" s="276" t="s">
        <v>31</v>
      </c>
      <c r="N113" s="276" t="s">
        <v>31</v>
      </c>
      <c r="O113" s="92" t="s">
        <v>336</v>
      </c>
    </row>
    <row r="114" spans="1:15" ht="15.75">
      <c r="A114" s="287" t="s">
        <v>291</v>
      </c>
      <c r="B114" s="271">
        <v>1</v>
      </c>
      <c r="D114" s="86" t="s">
        <v>18</v>
      </c>
      <c r="E114" s="86" t="s">
        <v>2</v>
      </c>
      <c r="F114" s="86" t="s">
        <v>292</v>
      </c>
      <c r="G114" s="86" t="s">
        <v>58</v>
      </c>
      <c r="H114" s="86" t="s">
        <v>33</v>
      </c>
      <c r="I114" s="288">
        <v>2</v>
      </c>
      <c r="J114" s="272">
        <f>LN(B114)</f>
        <v>0</v>
      </c>
      <c r="K114" s="276">
        <v>0.03</v>
      </c>
      <c r="L114" s="276" t="s">
        <v>31</v>
      </c>
      <c r="M114" s="276" t="s">
        <v>31</v>
      </c>
      <c r="N114" s="276" t="s">
        <v>31</v>
      </c>
    </row>
    <row r="115" spans="1:15" ht="15.75">
      <c r="A115" s="86" t="s">
        <v>311</v>
      </c>
      <c r="B115" s="271">
        <v>1</v>
      </c>
      <c r="D115" s="86" t="s">
        <v>18</v>
      </c>
      <c r="E115" s="86" t="s">
        <v>2</v>
      </c>
      <c r="F115" s="86" t="s">
        <v>292</v>
      </c>
      <c r="G115" s="86" t="s">
        <v>58</v>
      </c>
      <c r="H115" s="86" t="s">
        <v>33</v>
      </c>
      <c r="I115" s="288">
        <v>2</v>
      </c>
      <c r="J115" s="272">
        <f t="shared" ref="J115:J123" si="4">LN(B115)</f>
        <v>0</v>
      </c>
      <c r="K115" s="276">
        <v>0.03</v>
      </c>
      <c r="L115" s="276" t="s">
        <v>31</v>
      </c>
      <c r="M115" s="276" t="s">
        <v>31</v>
      </c>
      <c r="N115" s="276" t="s">
        <v>31</v>
      </c>
    </row>
    <row r="116" spans="1:15" ht="15.75">
      <c r="A116" s="86" t="s">
        <v>314</v>
      </c>
      <c r="B116" s="275">
        <v>1</v>
      </c>
      <c r="C116" s="275"/>
      <c r="D116" s="86" t="s">
        <v>18</v>
      </c>
      <c r="E116" s="86" t="s">
        <v>2</v>
      </c>
      <c r="F116" s="86" t="s">
        <v>292</v>
      </c>
      <c r="G116" s="86" t="s">
        <v>58</v>
      </c>
      <c r="H116" s="86" t="s">
        <v>33</v>
      </c>
      <c r="I116" s="288">
        <v>2</v>
      </c>
      <c r="J116" s="272">
        <f t="shared" si="4"/>
        <v>0</v>
      </c>
      <c r="K116" s="276">
        <v>0.03</v>
      </c>
      <c r="L116" s="276" t="s">
        <v>31</v>
      </c>
      <c r="M116" s="276" t="s">
        <v>31</v>
      </c>
      <c r="N116" s="276" t="s">
        <v>31</v>
      </c>
    </row>
    <row r="117" spans="1:15" ht="15.75">
      <c r="A117" s="86" t="s">
        <v>325</v>
      </c>
      <c r="B117" s="271">
        <v>1</v>
      </c>
      <c r="D117" s="86" t="s">
        <v>18</v>
      </c>
      <c r="E117" s="86" t="s">
        <v>2</v>
      </c>
      <c r="F117" s="86" t="s">
        <v>292</v>
      </c>
      <c r="G117" s="86" t="s">
        <v>58</v>
      </c>
      <c r="H117" s="86" t="s">
        <v>33</v>
      </c>
      <c r="I117" s="288">
        <v>2</v>
      </c>
      <c r="J117" s="272">
        <f t="shared" si="4"/>
        <v>0</v>
      </c>
      <c r="K117" s="276">
        <v>0.03</v>
      </c>
      <c r="L117" s="276" t="s">
        <v>31</v>
      </c>
      <c r="M117" s="276" t="s">
        <v>31</v>
      </c>
      <c r="N117" s="276" t="s">
        <v>31</v>
      </c>
    </row>
    <row r="118" spans="1:15" ht="15.75">
      <c r="A118" s="86" t="s">
        <v>327</v>
      </c>
      <c r="B118" s="86">
        <v>1</v>
      </c>
      <c r="C118" s="86"/>
      <c r="D118" s="86" t="s">
        <v>18</v>
      </c>
      <c r="E118" s="86" t="s">
        <v>2</v>
      </c>
      <c r="F118" s="86" t="s">
        <v>292</v>
      </c>
      <c r="G118" s="86" t="s">
        <v>58</v>
      </c>
      <c r="H118" s="86" t="s">
        <v>33</v>
      </c>
      <c r="I118" s="288">
        <v>2</v>
      </c>
      <c r="J118" s="272">
        <f t="shared" si="4"/>
        <v>0</v>
      </c>
      <c r="K118" s="276">
        <v>0.03</v>
      </c>
      <c r="L118" s="276" t="s">
        <v>31</v>
      </c>
      <c r="M118" s="276" t="s">
        <v>31</v>
      </c>
      <c r="N118" s="276" t="s">
        <v>31</v>
      </c>
    </row>
    <row r="119" spans="1:15" ht="15.75">
      <c r="A119" s="86" t="s">
        <v>337</v>
      </c>
      <c r="B119" s="271">
        <f>1420*4*0.02571</f>
        <v>146.03280000000001</v>
      </c>
      <c r="D119" s="86" t="s">
        <v>37</v>
      </c>
      <c r="E119" s="93" t="s">
        <v>40</v>
      </c>
      <c r="F119" s="86" t="s">
        <v>29</v>
      </c>
      <c r="G119" s="92" t="s">
        <v>58</v>
      </c>
      <c r="H119" s="86" t="s">
        <v>33</v>
      </c>
      <c r="I119" s="288">
        <v>2</v>
      </c>
      <c r="J119" s="272">
        <f t="shared" si="4"/>
        <v>4.983831254010858</v>
      </c>
      <c r="K119" s="276">
        <v>0.03</v>
      </c>
      <c r="L119" s="276" t="s">
        <v>31</v>
      </c>
      <c r="M119" s="276" t="s">
        <v>31</v>
      </c>
      <c r="N119" s="276" t="s">
        <v>31</v>
      </c>
      <c r="O119" s="86" t="s">
        <v>338</v>
      </c>
    </row>
    <row r="120" spans="1:15" ht="15.75">
      <c r="A120" s="86" t="s">
        <v>339</v>
      </c>
      <c r="B120" s="271">
        <f>1420*4*0.04463</f>
        <v>253.4984</v>
      </c>
      <c r="D120" s="86" t="s">
        <v>37</v>
      </c>
      <c r="E120" s="93" t="s">
        <v>40</v>
      </c>
      <c r="F120" s="86" t="s">
        <v>29</v>
      </c>
      <c r="G120" s="92" t="s">
        <v>58</v>
      </c>
      <c r="H120" s="86" t="s">
        <v>33</v>
      </c>
      <c r="I120" s="288">
        <v>2</v>
      </c>
      <c r="J120" s="272">
        <f t="shared" si="4"/>
        <v>5.5353575113742384</v>
      </c>
      <c r="K120" s="276">
        <v>0.03</v>
      </c>
      <c r="L120" s="276" t="s">
        <v>31</v>
      </c>
      <c r="M120" s="276" t="s">
        <v>31</v>
      </c>
      <c r="N120" s="276" t="s">
        <v>31</v>
      </c>
      <c r="O120" s="86" t="s">
        <v>340</v>
      </c>
    </row>
    <row r="121" spans="1:15" ht="15.75">
      <c r="A121" s="92" t="s">
        <v>329</v>
      </c>
      <c r="B121" s="271">
        <f>1420*4*0.0159</f>
        <v>90.312000000000012</v>
      </c>
      <c r="D121" s="86" t="s">
        <v>37</v>
      </c>
      <c r="E121" s="93" t="s">
        <v>40</v>
      </c>
      <c r="F121" s="86" t="s">
        <v>29</v>
      </c>
      <c r="G121" s="86" t="s">
        <v>58</v>
      </c>
      <c r="H121" s="86" t="s">
        <v>33</v>
      </c>
      <c r="I121" s="288">
        <v>2</v>
      </c>
      <c r="J121" s="272">
        <f t="shared" si="4"/>
        <v>4.5032703419592464</v>
      </c>
      <c r="K121" s="276">
        <v>0.03</v>
      </c>
      <c r="L121" s="276" t="s">
        <v>31</v>
      </c>
      <c r="M121" s="276" t="s">
        <v>31</v>
      </c>
      <c r="N121" s="276" t="s">
        <v>31</v>
      </c>
      <c r="O121" s="92" t="s">
        <v>341</v>
      </c>
    </row>
    <row r="122" spans="1:15" ht="15.75">
      <c r="A122" s="289" t="s">
        <v>342</v>
      </c>
      <c r="B122" s="271">
        <f>1420*4*0.0424</f>
        <v>240.83199999999999</v>
      </c>
      <c r="D122" s="86" t="s">
        <v>37</v>
      </c>
      <c r="E122" s="93" t="s">
        <v>40</v>
      </c>
      <c r="F122" s="86" t="s">
        <v>29</v>
      </c>
      <c r="G122" s="86" t="s">
        <v>58</v>
      </c>
      <c r="H122" s="86" t="s">
        <v>33</v>
      </c>
      <c r="I122" s="288">
        <v>2</v>
      </c>
      <c r="J122" s="272">
        <f t="shared" si="4"/>
        <v>5.4840995949709717</v>
      </c>
      <c r="K122" s="276">
        <v>0.03</v>
      </c>
      <c r="L122" s="276" t="s">
        <v>31</v>
      </c>
      <c r="M122" s="276" t="s">
        <v>31</v>
      </c>
      <c r="N122" s="276" t="s">
        <v>31</v>
      </c>
      <c r="O122" s="92" t="s">
        <v>343</v>
      </c>
    </row>
    <row r="123" spans="1:15" ht="15.75">
      <c r="A123" s="86" t="s">
        <v>38</v>
      </c>
      <c r="B123" s="271">
        <f>1420*4*0.529*7.545657073</f>
        <v>22672.586720384563</v>
      </c>
      <c r="D123" s="86" t="s">
        <v>39</v>
      </c>
      <c r="E123" s="93" t="s">
        <v>40</v>
      </c>
      <c r="F123" s="86" t="s">
        <v>29</v>
      </c>
      <c r="G123" s="86" t="s">
        <v>58</v>
      </c>
      <c r="H123" s="86" t="s">
        <v>33</v>
      </c>
      <c r="I123" s="288">
        <v>2</v>
      </c>
      <c r="J123" s="272">
        <f t="shared" si="4"/>
        <v>10.028911840229373</v>
      </c>
      <c r="K123" s="276">
        <v>0.03</v>
      </c>
      <c r="L123" s="276" t="s">
        <v>31</v>
      </c>
      <c r="M123" s="276" t="s">
        <v>31</v>
      </c>
      <c r="N123" s="276" t="s">
        <v>31</v>
      </c>
      <c r="O123" s="86" t="s">
        <v>344</v>
      </c>
    </row>
    <row r="124" spans="1:15" s="91" customFormat="1" ht="15.75">
      <c r="A124" s="280" t="s">
        <v>5</v>
      </c>
      <c r="B124" s="281" t="s">
        <v>345</v>
      </c>
      <c r="C124" s="281"/>
      <c r="D124" s="90"/>
      <c r="I124" s="282"/>
      <c r="J124" s="282"/>
      <c r="K124" s="282"/>
      <c r="L124" s="282"/>
      <c r="M124" s="282"/>
      <c r="N124" s="282"/>
    </row>
    <row r="125" spans="1:15">
      <c r="A125" s="86" t="s">
        <v>7</v>
      </c>
      <c r="B125" s="271" t="s">
        <v>292</v>
      </c>
    </row>
    <row r="126" spans="1:15">
      <c r="A126" s="86" t="s">
        <v>9</v>
      </c>
      <c r="B126" s="86" t="str">
        <f ca="1">UPPER(CONCATENATE(DEC2HEX(RANDBETWEEN(0,POWER(16,8)),8),DEC2HEX(RANDBETWEEN(0,POWER(16,4)),4),"4",DEC2HEX(RANDBETWEEN(0,POWER(16,3)),3),DEC2HEX(RANDBETWEEN(8,11)),DEC2HEX(RANDBETWEEN(0,POWER(16,3)),3),DEC2HEX(RANDBETWEEN(0,POWER(16,8)),8),DEC2HEX(RANDBETWEEN(0,POWER(16,4)),4)))</f>
        <v>3D169434BFCF4780BFC1CB8613542277</v>
      </c>
    </row>
    <row r="127" spans="1:15">
      <c r="A127" s="86" t="s">
        <v>11</v>
      </c>
      <c r="B127" s="271" t="s">
        <v>293</v>
      </c>
    </row>
    <row r="128" spans="1:15">
      <c r="A128" s="86" t="s">
        <v>13</v>
      </c>
      <c r="B128" s="271" t="s">
        <v>58</v>
      </c>
    </row>
    <row r="129" spans="1:15">
      <c r="A129" s="86" t="s">
        <v>15</v>
      </c>
      <c r="B129" s="271">
        <v>1</v>
      </c>
    </row>
    <row r="130" spans="1:15">
      <c r="A130" s="86" t="s">
        <v>16</v>
      </c>
      <c r="B130" s="271" t="s">
        <v>17</v>
      </c>
    </row>
    <row r="131" spans="1:15">
      <c r="A131" s="86" t="s">
        <v>18</v>
      </c>
      <c r="B131" s="271" t="s">
        <v>18</v>
      </c>
    </row>
    <row r="132" spans="1:15" ht="15.75">
      <c r="A132" s="88" t="s">
        <v>19</v>
      </c>
    </row>
    <row r="133" spans="1:15" ht="15.75">
      <c r="A133" s="88" t="s">
        <v>20</v>
      </c>
      <c r="B133" s="273" t="s">
        <v>21</v>
      </c>
      <c r="C133" s="273" t="s">
        <v>198</v>
      </c>
      <c r="D133" s="88" t="s">
        <v>18</v>
      </c>
      <c r="E133" s="88" t="s">
        <v>22</v>
      </c>
      <c r="F133" s="88" t="s">
        <v>7</v>
      </c>
      <c r="G133" s="88" t="s">
        <v>13</v>
      </c>
      <c r="H133" s="88" t="s">
        <v>16</v>
      </c>
      <c r="I133" s="274" t="s">
        <v>23</v>
      </c>
      <c r="J133" s="274" t="s">
        <v>24</v>
      </c>
      <c r="K133" s="274" t="s">
        <v>25</v>
      </c>
      <c r="L133" s="274" t="s">
        <v>26</v>
      </c>
      <c r="M133" s="274" t="s">
        <v>27</v>
      </c>
      <c r="N133" s="274" t="s">
        <v>28</v>
      </c>
      <c r="O133" s="88" t="s">
        <v>11</v>
      </c>
    </row>
    <row r="134" spans="1:15" ht="15.75">
      <c r="A134" s="92" t="s">
        <v>345</v>
      </c>
      <c r="B134" s="275">
        <v>1</v>
      </c>
      <c r="C134" s="275"/>
      <c r="D134" s="92" t="s">
        <v>18</v>
      </c>
      <c r="E134" s="92" t="s">
        <v>2</v>
      </c>
      <c r="F134" s="86" t="s">
        <v>292</v>
      </c>
      <c r="G134" s="92" t="s">
        <v>58</v>
      </c>
      <c r="H134" s="92" t="s">
        <v>30</v>
      </c>
      <c r="I134" s="276">
        <v>0</v>
      </c>
      <c r="J134" s="276" t="s">
        <v>31</v>
      </c>
      <c r="K134" s="276" t="s">
        <v>31</v>
      </c>
      <c r="L134" s="276" t="s">
        <v>31</v>
      </c>
      <c r="M134" s="276" t="s">
        <v>31</v>
      </c>
      <c r="N134" s="276" t="s">
        <v>31</v>
      </c>
      <c r="O134" s="92" t="s">
        <v>346</v>
      </c>
    </row>
    <row r="135" spans="1:15" ht="15.75">
      <c r="A135" s="86" t="s">
        <v>329</v>
      </c>
      <c r="B135" s="271">
        <f>4*36.699</f>
        <v>146.79599999999999</v>
      </c>
      <c r="D135" s="86" t="s">
        <v>37</v>
      </c>
      <c r="E135" s="93" t="s">
        <v>40</v>
      </c>
      <c r="F135" s="86" t="s">
        <v>29</v>
      </c>
      <c r="G135" s="86" t="s">
        <v>58</v>
      </c>
      <c r="H135" s="86" t="s">
        <v>33</v>
      </c>
      <c r="I135" s="272">
        <v>2</v>
      </c>
      <c r="J135" s="272">
        <f>LN(B135)</f>
        <v>4.9890438678527795</v>
      </c>
      <c r="K135" s="272">
        <v>3.9051247999999997E-2</v>
      </c>
      <c r="L135" s="276" t="s">
        <v>31</v>
      </c>
      <c r="M135" s="276" t="s">
        <v>31</v>
      </c>
      <c r="N135" s="276" t="s">
        <v>31</v>
      </c>
      <c r="O135" s="92" t="s">
        <v>347</v>
      </c>
    </row>
    <row r="136" spans="1:15" ht="15.75">
      <c r="A136" s="86" t="s">
        <v>348</v>
      </c>
      <c r="B136" s="275">
        <f>4*0.918</f>
        <v>3.6720000000000002</v>
      </c>
      <c r="C136" s="275"/>
      <c r="D136" s="92" t="s">
        <v>37</v>
      </c>
      <c r="E136" s="93" t="s">
        <v>40</v>
      </c>
      <c r="F136" s="86" t="s">
        <v>29</v>
      </c>
      <c r="G136" s="92" t="s">
        <v>58</v>
      </c>
      <c r="H136" s="92" t="s">
        <v>33</v>
      </c>
      <c r="I136" s="272">
        <v>2</v>
      </c>
      <c r="J136" s="272">
        <f t="shared" ref="J136:J138" si="5">LN(B136)</f>
        <v>1.300736472758244</v>
      </c>
      <c r="K136" s="272">
        <v>3.9051247999999997E-2</v>
      </c>
      <c r="L136" s="276" t="s">
        <v>31</v>
      </c>
      <c r="M136" s="276" t="s">
        <v>31</v>
      </c>
      <c r="N136" s="276" t="s">
        <v>31</v>
      </c>
      <c r="O136" s="92" t="s">
        <v>349</v>
      </c>
    </row>
    <row r="137" spans="1:15" ht="15.75">
      <c r="A137" s="86" t="s">
        <v>348</v>
      </c>
      <c r="B137" s="275">
        <f>4*0.579</f>
        <v>2.3159999999999998</v>
      </c>
      <c r="C137" s="275"/>
      <c r="D137" s="92" t="s">
        <v>37</v>
      </c>
      <c r="E137" s="93" t="s">
        <v>40</v>
      </c>
      <c r="F137" s="86" t="s">
        <v>29</v>
      </c>
      <c r="G137" s="92" t="s">
        <v>58</v>
      </c>
      <c r="H137" s="92" t="s">
        <v>33</v>
      </c>
      <c r="I137" s="272">
        <v>2</v>
      </c>
      <c r="J137" s="272">
        <f t="shared" si="5"/>
        <v>0.8398415597107487</v>
      </c>
      <c r="K137" s="272">
        <v>3.9051247999999997E-2</v>
      </c>
      <c r="L137" s="276" t="s">
        <v>31</v>
      </c>
      <c r="M137" s="276" t="s">
        <v>31</v>
      </c>
      <c r="N137" s="276" t="s">
        <v>31</v>
      </c>
      <c r="O137" s="92" t="s">
        <v>350</v>
      </c>
    </row>
    <row r="138" spans="1:15" ht="15.75">
      <c r="A138" s="289" t="s">
        <v>342</v>
      </c>
      <c r="B138" s="271">
        <f>4*2.266</f>
        <v>9.0640000000000001</v>
      </c>
      <c r="D138" s="86" t="s">
        <v>37</v>
      </c>
      <c r="E138" s="93" t="s">
        <v>40</v>
      </c>
      <c r="F138" s="86" t="s">
        <v>29</v>
      </c>
      <c r="G138" s="86" t="s">
        <v>58</v>
      </c>
      <c r="H138" s="86" t="s">
        <v>33</v>
      </c>
      <c r="I138" s="272">
        <v>2</v>
      </c>
      <c r="J138" s="272">
        <f t="shared" si="5"/>
        <v>2.204310523725705</v>
      </c>
      <c r="K138" s="272">
        <v>3.9051247999999997E-2</v>
      </c>
      <c r="L138" s="276" t="s">
        <v>31</v>
      </c>
      <c r="M138" s="276" t="s">
        <v>31</v>
      </c>
      <c r="N138" s="276" t="s">
        <v>31</v>
      </c>
      <c r="O138" s="92" t="s">
        <v>351</v>
      </c>
    </row>
    <row r="139" spans="1:15" s="91" customFormat="1" ht="15.75">
      <c r="A139" s="280" t="s">
        <v>5</v>
      </c>
      <c r="B139" s="281" t="s">
        <v>352</v>
      </c>
      <c r="C139" s="281"/>
      <c r="D139" s="90"/>
      <c r="I139" s="282"/>
      <c r="J139" s="282"/>
      <c r="K139" s="282"/>
      <c r="L139" s="282"/>
      <c r="M139" s="282"/>
      <c r="N139" s="282"/>
    </row>
    <row r="140" spans="1:15">
      <c r="A140" s="86" t="s">
        <v>7</v>
      </c>
      <c r="B140" s="271" t="s">
        <v>292</v>
      </c>
    </row>
    <row r="141" spans="1:15">
      <c r="A141" s="86" t="s">
        <v>9</v>
      </c>
      <c r="B141" s="86" t="str">
        <f ca="1">UPPER(CONCATENATE(DEC2HEX(RANDBETWEEN(0,POWER(16,8)),8),DEC2HEX(RANDBETWEEN(0,POWER(16,4)),4),"4",DEC2HEX(RANDBETWEEN(0,POWER(16,3)),3),DEC2HEX(RANDBETWEEN(8,11)),DEC2HEX(RANDBETWEEN(0,POWER(16,3)),3),DEC2HEX(RANDBETWEEN(0,POWER(16,8)),8),DEC2HEX(RANDBETWEEN(0,POWER(16,4)),4)))</f>
        <v>606A00B0FB3A4C86B69C569BA6F9C066</v>
      </c>
    </row>
    <row r="142" spans="1:15">
      <c r="A142" s="86" t="s">
        <v>11</v>
      </c>
      <c r="B142" s="271" t="s">
        <v>293</v>
      </c>
    </row>
    <row r="143" spans="1:15">
      <c r="A143" s="86" t="s">
        <v>13</v>
      </c>
      <c r="B143" s="271" t="s">
        <v>58</v>
      </c>
    </row>
    <row r="144" spans="1:15">
      <c r="A144" s="86" t="s">
        <v>15</v>
      </c>
      <c r="B144" s="271">
        <v>1</v>
      </c>
    </row>
    <row r="145" spans="1:15">
      <c r="A145" s="86" t="s">
        <v>16</v>
      </c>
      <c r="B145" s="271" t="s">
        <v>17</v>
      </c>
    </row>
    <row r="146" spans="1:15">
      <c r="A146" s="86" t="s">
        <v>18</v>
      </c>
      <c r="B146" s="271" t="s">
        <v>18</v>
      </c>
    </row>
    <row r="147" spans="1:15" ht="15.75">
      <c r="A147" s="88" t="s">
        <v>19</v>
      </c>
    </row>
    <row r="148" spans="1:15" ht="15.75">
      <c r="A148" s="88" t="s">
        <v>20</v>
      </c>
      <c r="B148" s="273" t="s">
        <v>21</v>
      </c>
      <c r="C148" s="273" t="s">
        <v>198</v>
      </c>
      <c r="D148" s="88" t="s">
        <v>18</v>
      </c>
      <c r="E148" s="88" t="s">
        <v>22</v>
      </c>
      <c r="F148" s="88" t="s">
        <v>7</v>
      </c>
      <c r="G148" s="88" t="s">
        <v>13</v>
      </c>
      <c r="H148" s="88" t="s">
        <v>16</v>
      </c>
      <c r="I148" s="274" t="s">
        <v>23</v>
      </c>
      <c r="J148" s="274" t="s">
        <v>24</v>
      </c>
      <c r="K148" s="274" t="s">
        <v>25</v>
      </c>
      <c r="L148" s="274" t="s">
        <v>26</v>
      </c>
      <c r="M148" s="274" t="s">
        <v>27</v>
      </c>
      <c r="N148" s="274" t="s">
        <v>28</v>
      </c>
      <c r="O148" s="88" t="s">
        <v>11</v>
      </c>
    </row>
    <row r="149" spans="1:15" ht="15.75">
      <c r="A149" s="92" t="s">
        <v>352</v>
      </c>
      <c r="B149" s="275">
        <v>1</v>
      </c>
      <c r="C149" s="275"/>
      <c r="D149" s="92" t="s">
        <v>18</v>
      </c>
      <c r="E149" s="92" t="s">
        <v>2</v>
      </c>
      <c r="F149" s="86" t="s">
        <v>292</v>
      </c>
      <c r="G149" s="92" t="s">
        <v>58</v>
      </c>
      <c r="H149" s="92" t="s">
        <v>30</v>
      </c>
      <c r="I149" s="276">
        <v>0</v>
      </c>
      <c r="J149" s="276" t="s">
        <v>31</v>
      </c>
      <c r="K149" s="276" t="s">
        <v>31</v>
      </c>
      <c r="L149" s="276" t="s">
        <v>31</v>
      </c>
      <c r="M149" s="276" t="s">
        <v>31</v>
      </c>
      <c r="N149" s="276" t="s">
        <v>31</v>
      </c>
      <c r="O149" s="92" t="s">
        <v>294</v>
      </c>
    </row>
    <row r="150" spans="1:15" ht="15.75">
      <c r="A150" s="86" t="s">
        <v>335</v>
      </c>
      <c r="B150" s="290">
        <v>1</v>
      </c>
      <c r="C150" s="290"/>
      <c r="D150" s="92" t="s">
        <v>18</v>
      </c>
      <c r="E150" s="92" t="s">
        <v>2</v>
      </c>
      <c r="F150" s="92" t="s">
        <v>292</v>
      </c>
      <c r="G150" s="92" t="s">
        <v>58</v>
      </c>
      <c r="H150" s="86" t="s">
        <v>33</v>
      </c>
      <c r="I150" s="276">
        <v>0</v>
      </c>
      <c r="J150" s="276" t="s">
        <v>31</v>
      </c>
      <c r="K150" s="276" t="s">
        <v>31</v>
      </c>
      <c r="L150" s="276" t="s">
        <v>31</v>
      </c>
      <c r="M150" s="276" t="s">
        <v>31</v>
      </c>
      <c r="N150" s="276" t="s">
        <v>31</v>
      </c>
      <c r="O150" s="92"/>
    </row>
    <row r="151" spans="1:15" ht="15.75">
      <c r="A151" s="92" t="s">
        <v>353</v>
      </c>
      <c r="B151" s="271">
        <v>1</v>
      </c>
      <c r="D151" s="92" t="s">
        <v>18</v>
      </c>
      <c r="E151" s="92" t="s">
        <v>2</v>
      </c>
      <c r="F151" s="92" t="s">
        <v>292</v>
      </c>
      <c r="G151" s="86" t="s">
        <v>58</v>
      </c>
      <c r="H151" s="86" t="s">
        <v>33</v>
      </c>
      <c r="I151" s="272">
        <v>0</v>
      </c>
      <c r="J151" s="276" t="s">
        <v>31</v>
      </c>
      <c r="K151" s="276" t="s">
        <v>31</v>
      </c>
      <c r="L151" s="276" t="s">
        <v>31</v>
      </c>
      <c r="M151" s="276" t="s">
        <v>31</v>
      </c>
      <c r="N151" s="276" t="s">
        <v>31</v>
      </c>
      <c r="O151" s="92" t="s">
        <v>354</v>
      </c>
    </row>
    <row r="152" spans="1:15" ht="15.75">
      <c r="A152" s="86" t="s">
        <v>345</v>
      </c>
      <c r="B152" s="271">
        <v>1</v>
      </c>
      <c r="D152" s="86" t="s">
        <v>18</v>
      </c>
      <c r="E152" s="86" t="s">
        <v>2</v>
      </c>
      <c r="F152" s="86" t="s">
        <v>292</v>
      </c>
      <c r="G152" s="86" t="s">
        <v>58</v>
      </c>
      <c r="H152" s="86" t="s">
        <v>33</v>
      </c>
      <c r="I152" s="272">
        <v>0</v>
      </c>
      <c r="J152" s="276" t="s">
        <v>31</v>
      </c>
      <c r="K152" s="276" t="s">
        <v>31</v>
      </c>
      <c r="L152" s="276" t="s">
        <v>31</v>
      </c>
      <c r="M152" s="276" t="s">
        <v>31</v>
      </c>
      <c r="N152" s="276" t="s">
        <v>31</v>
      </c>
    </row>
    <row r="153" spans="1:15" s="91" customFormat="1" ht="15.75">
      <c r="A153" s="280" t="s">
        <v>5</v>
      </c>
      <c r="B153" s="281" t="s">
        <v>353</v>
      </c>
      <c r="C153" s="281"/>
      <c r="D153" s="90"/>
      <c r="I153" s="282"/>
      <c r="J153" s="282"/>
      <c r="K153" s="282"/>
      <c r="L153" s="282"/>
      <c r="M153" s="282"/>
      <c r="N153" s="282"/>
    </row>
    <row r="154" spans="1:15">
      <c r="A154" s="86" t="s">
        <v>7</v>
      </c>
      <c r="B154" s="271" t="s">
        <v>292</v>
      </c>
    </row>
    <row r="155" spans="1:15">
      <c r="A155" s="86" t="s">
        <v>9</v>
      </c>
      <c r="B155" s="86" t="str">
        <f ca="1">UPPER(CONCATENATE(DEC2HEX(RANDBETWEEN(0,POWER(16,8)),8),DEC2HEX(RANDBETWEEN(0,POWER(16,4)),4),"4",DEC2HEX(RANDBETWEEN(0,POWER(16,3)),3),DEC2HEX(RANDBETWEEN(8,11)),DEC2HEX(RANDBETWEEN(0,POWER(16,3)),3),DEC2HEX(RANDBETWEEN(0,POWER(16,8)),8),DEC2HEX(RANDBETWEEN(0,POWER(16,4)),4)))</f>
        <v>0C4EA301D09A46D1B4D4DD3BD922B79A</v>
      </c>
    </row>
    <row r="156" spans="1:15">
      <c r="A156" s="86" t="s">
        <v>11</v>
      </c>
      <c r="B156" s="271" t="s">
        <v>293</v>
      </c>
    </row>
    <row r="157" spans="1:15">
      <c r="A157" s="86" t="s">
        <v>13</v>
      </c>
      <c r="B157" s="271" t="s">
        <v>58</v>
      </c>
    </row>
    <row r="158" spans="1:15">
      <c r="A158" s="86" t="s">
        <v>15</v>
      </c>
      <c r="B158" s="271">
        <v>1</v>
      </c>
    </row>
    <row r="159" spans="1:15">
      <c r="A159" s="86" t="s">
        <v>16</v>
      </c>
      <c r="B159" s="271" t="s">
        <v>17</v>
      </c>
    </row>
    <row r="160" spans="1:15">
      <c r="A160" s="86" t="s">
        <v>18</v>
      </c>
      <c r="B160" s="271" t="s">
        <v>18</v>
      </c>
    </row>
    <row r="161" spans="1:15" ht="15.75">
      <c r="A161" s="88" t="s">
        <v>19</v>
      </c>
    </row>
    <row r="162" spans="1:15" ht="15.75">
      <c r="A162" s="88" t="s">
        <v>20</v>
      </c>
      <c r="B162" s="273" t="s">
        <v>21</v>
      </c>
      <c r="C162" s="273" t="s">
        <v>198</v>
      </c>
      <c r="D162" s="88" t="s">
        <v>18</v>
      </c>
      <c r="E162" s="88" t="s">
        <v>22</v>
      </c>
      <c r="F162" s="88" t="s">
        <v>7</v>
      </c>
      <c r="G162" s="88" t="s">
        <v>13</v>
      </c>
      <c r="H162" s="88" t="s">
        <v>16</v>
      </c>
      <c r="I162" s="274" t="s">
        <v>23</v>
      </c>
      <c r="J162" s="274" t="s">
        <v>24</v>
      </c>
      <c r="K162" s="274" t="s">
        <v>25</v>
      </c>
      <c r="L162" s="274" t="s">
        <v>26</v>
      </c>
      <c r="M162" s="274" t="s">
        <v>27</v>
      </c>
      <c r="N162" s="274" t="s">
        <v>28</v>
      </c>
      <c r="O162" s="88" t="s">
        <v>11</v>
      </c>
    </row>
    <row r="163" spans="1:15" ht="15.75">
      <c r="A163" s="92" t="s">
        <v>353</v>
      </c>
      <c r="B163" s="275">
        <v>1</v>
      </c>
      <c r="C163" s="275"/>
      <c r="D163" s="92" t="s">
        <v>18</v>
      </c>
      <c r="E163" s="92" t="s">
        <v>2</v>
      </c>
      <c r="F163" s="86" t="s">
        <v>292</v>
      </c>
      <c r="G163" s="92" t="s">
        <v>58</v>
      </c>
      <c r="H163" s="92" t="s">
        <v>30</v>
      </c>
      <c r="I163" s="276">
        <v>0</v>
      </c>
      <c r="J163" s="276" t="s">
        <v>31</v>
      </c>
      <c r="K163" s="276" t="s">
        <v>31</v>
      </c>
      <c r="L163" s="276" t="s">
        <v>31</v>
      </c>
      <c r="M163" s="276" t="s">
        <v>31</v>
      </c>
      <c r="N163" s="276" t="s">
        <v>31</v>
      </c>
      <c r="O163" s="92" t="s">
        <v>355</v>
      </c>
    </row>
    <row r="164" spans="1:15" ht="15.75">
      <c r="A164" s="93" t="s">
        <v>356</v>
      </c>
      <c r="B164" s="271">
        <f>4*16.185</f>
        <v>64.739999999999995</v>
      </c>
      <c r="D164" s="92" t="s">
        <v>37</v>
      </c>
      <c r="E164" s="93" t="s">
        <v>40</v>
      </c>
      <c r="F164" s="86" t="s">
        <v>29</v>
      </c>
      <c r="G164" s="86" t="s">
        <v>58</v>
      </c>
      <c r="H164" s="86" t="s">
        <v>33</v>
      </c>
      <c r="I164" s="272">
        <v>2</v>
      </c>
      <c r="J164" s="276">
        <f>LN(B164)</f>
        <v>4.1703792484980982</v>
      </c>
      <c r="K164" s="272">
        <v>9.7082439000000006E-2</v>
      </c>
      <c r="L164" s="276" t="s">
        <v>31</v>
      </c>
      <c r="M164" s="276" t="s">
        <v>31</v>
      </c>
      <c r="N164" s="276" t="s">
        <v>31</v>
      </c>
      <c r="O164" s="92" t="s">
        <v>354</v>
      </c>
    </row>
    <row r="165" spans="1:15" s="91" customFormat="1" ht="15.75">
      <c r="A165" s="280" t="s">
        <v>5</v>
      </c>
      <c r="B165" s="281" t="s">
        <v>357</v>
      </c>
      <c r="C165" s="281"/>
      <c r="D165" s="90"/>
      <c r="I165" s="282"/>
      <c r="J165" s="282"/>
      <c r="K165" s="282"/>
      <c r="L165" s="282"/>
      <c r="M165" s="282"/>
      <c r="N165" s="282"/>
    </row>
    <row r="166" spans="1:15">
      <c r="A166" s="86" t="s">
        <v>7</v>
      </c>
      <c r="B166" s="271" t="s">
        <v>292</v>
      </c>
    </row>
    <row r="167" spans="1:15">
      <c r="A167" s="86" t="s">
        <v>9</v>
      </c>
      <c r="B167" s="86" t="str">
        <f ca="1">UPPER(CONCATENATE(DEC2HEX(RANDBETWEEN(0,POWER(16,8)),8),DEC2HEX(RANDBETWEEN(0,POWER(16,4)),4),"4",DEC2HEX(RANDBETWEEN(0,POWER(16,3)),3),DEC2HEX(RANDBETWEEN(8,11)),DEC2HEX(RANDBETWEEN(0,POWER(16,3)),3),DEC2HEX(RANDBETWEEN(0,POWER(16,8)),8),DEC2HEX(RANDBETWEEN(0,POWER(16,4)),4)))</f>
        <v>82D1A85B56294EA2A39B6E636552EE5F</v>
      </c>
    </row>
    <row r="168" spans="1:15">
      <c r="A168" s="86" t="s">
        <v>11</v>
      </c>
      <c r="B168" s="271" t="s">
        <v>293</v>
      </c>
    </row>
    <row r="169" spans="1:15">
      <c r="A169" s="86" t="s">
        <v>13</v>
      </c>
      <c r="B169" s="271" t="s">
        <v>58</v>
      </c>
    </row>
    <row r="170" spans="1:15">
      <c r="A170" s="86" t="s">
        <v>15</v>
      </c>
      <c r="B170" s="271">
        <v>1</v>
      </c>
    </row>
    <row r="171" spans="1:15">
      <c r="A171" s="86" t="s">
        <v>16</v>
      </c>
      <c r="B171" s="271" t="s">
        <v>17</v>
      </c>
    </row>
    <row r="172" spans="1:15">
      <c r="A172" s="86" t="s">
        <v>18</v>
      </c>
      <c r="B172" s="271" t="s">
        <v>18</v>
      </c>
    </row>
    <row r="173" spans="1:15" ht="15.75">
      <c r="A173" s="88" t="s">
        <v>19</v>
      </c>
    </row>
    <row r="174" spans="1:15" ht="15.75">
      <c r="A174" s="88" t="s">
        <v>20</v>
      </c>
      <c r="B174" s="273" t="s">
        <v>21</v>
      </c>
      <c r="C174" s="273" t="s">
        <v>198</v>
      </c>
      <c r="D174" s="88" t="s">
        <v>18</v>
      </c>
      <c r="E174" s="88" t="s">
        <v>22</v>
      </c>
      <c r="F174" s="88" t="s">
        <v>7</v>
      </c>
      <c r="G174" s="88" t="s">
        <v>13</v>
      </c>
      <c r="H174" s="88" t="s">
        <v>16</v>
      </c>
      <c r="I174" s="274" t="s">
        <v>23</v>
      </c>
      <c r="J174" s="274" t="s">
        <v>24</v>
      </c>
      <c r="K174" s="274" t="s">
        <v>25</v>
      </c>
      <c r="L174" s="274" t="s">
        <v>26</v>
      </c>
      <c r="M174" s="274" t="s">
        <v>27</v>
      </c>
      <c r="N174" s="274" t="s">
        <v>28</v>
      </c>
      <c r="O174" s="88" t="s">
        <v>11</v>
      </c>
    </row>
    <row r="175" spans="1:15" ht="15.75">
      <c r="A175" s="92" t="s">
        <v>357</v>
      </c>
      <c r="B175" s="275">
        <v>1</v>
      </c>
      <c r="C175" s="275"/>
      <c r="D175" s="92" t="s">
        <v>18</v>
      </c>
      <c r="E175" s="92" t="s">
        <v>2</v>
      </c>
      <c r="F175" s="86" t="s">
        <v>292</v>
      </c>
      <c r="G175" s="92" t="s">
        <v>58</v>
      </c>
      <c r="H175" s="92" t="s">
        <v>30</v>
      </c>
      <c r="I175" s="276">
        <v>0</v>
      </c>
      <c r="J175" s="276" t="s">
        <v>31</v>
      </c>
      <c r="K175" s="276" t="s">
        <v>31</v>
      </c>
      <c r="L175" s="276" t="s">
        <v>31</v>
      </c>
      <c r="M175" s="276" t="s">
        <v>31</v>
      </c>
      <c r="N175" s="276" t="s">
        <v>31</v>
      </c>
      <c r="O175" s="92" t="s">
        <v>294</v>
      </c>
    </row>
    <row r="176" spans="1:15" ht="15.75">
      <c r="A176" s="86" t="s">
        <v>329</v>
      </c>
      <c r="B176" s="271">
        <v>78.573999999999998</v>
      </c>
      <c r="D176" s="86" t="s">
        <v>37</v>
      </c>
      <c r="E176" s="93" t="s">
        <v>40</v>
      </c>
      <c r="F176" s="86" t="s">
        <v>29</v>
      </c>
      <c r="G176" s="86" t="s">
        <v>58</v>
      </c>
      <c r="H176" s="86" t="s">
        <v>33</v>
      </c>
      <c r="I176" s="272">
        <v>2</v>
      </c>
      <c r="J176" s="272">
        <f>LN(B176)</f>
        <v>4.3640408559084047</v>
      </c>
      <c r="K176" s="272">
        <v>3.9051247999999997E-2</v>
      </c>
      <c r="L176" s="276" t="s">
        <v>31</v>
      </c>
      <c r="M176" s="276" t="s">
        <v>31</v>
      </c>
      <c r="N176" s="276" t="s">
        <v>31</v>
      </c>
      <c r="O176" s="92" t="s">
        <v>351</v>
      </c>
    </row>
    <row r="177" spans="1:15" ht="15.75">
      <c r="A177" s="287" t="s">
        <v>235</v>
      </c>
      <c r="B177" s="271">
        <v>0</v>
      </c>
      <c r="D177" s="86" t="s">
        <v>37</v>
      </c>
      <c r="E177" s="93" t="s">
        <v>40</v>
      </c>
      <c r="F177" s="86" t="s">
        <v>29</v>
      </c>
      <c r="G177" s="86" t="s">
        <v>58</v>
      </c>
      <c r="H177" s="86" t="s">
        <v>33</v>
      </c>
      <c r="I177" s="272">
        <v>1</v>
      </c>
      <c r="J177" s="276" t="s">
        <v>31</v>
      </c>
      <c r="K177" s="276" t="s">
        <v>31</v>
      </c>
      <c r="L177" s="276" t="s">
        <v>31</v>
      </c>
      <c r="M177" s="276" t="s">
        <v>31</v>
      </c>
      <c r="N177" s="276" t="s">
        <v>31</v>
      </c>
      <c r="O177" s="92" t="s">
        <v>351</v>
      </c>
    </row>
    <row r="178" spans="1:15" ht="15.75">
      <c r="A178" s="289" t="s">
        <v>342</v>
      </c>
      <c r="B178" s="271">
        <v>8.73</v>
      </c>
      <c r="D178" s="86" t="s">
        <v>37</v>
      </c>
      <c r="E178" s="93" t="s">
        <v>40</v>
      </c>
      <c r="F178" s="86" t="s">
        <v>29</v>
      </c>
      <c r="G178" s="86" t="s">
        <v>58</v>
      </c>
      <c r="H178" s="86" t="s">
        <v>33</v>
      </c>
      <c r="I178" s="272">
        <v>2</v>
      </c>
      <c r="J178" s="272">
        <f>LN(B178)</f>
        <v>2.166765369851511</v>
      </c>
      <c r="K178" s="272">
        <v>3.9051247999999997E-2</v>
      </c>
      <c r="L178" s="276" t="s">
        <v>31</v>
      </c>
      <c r="M178" s="276" t="s">
        <v>31</v>
      </c>
      <c r="N178" s="276" t="s">
        <v>31</v>
      </c>
      <c r="O178" s="92" t="s">
        <v>351</v>
      </c>
    </row>
    <row r="179" spans="1:15" s="91" customFormat="1" ht="15.75">
      <c r="A179" s="280" t="s">
        <v>5</v>
      </c>
      <c r="B179" s="281" t="s">
        <v>358</v>
      </c>
      <c r="C179" s="281"/>
      <c r="D179" s="90"/>
      <c r="I179" s="282"/>
      <c r="J179" s="282"/>
      <c r="K179" s="282"/>
      <c r="L179" s="282"/>
      <c r="M179" s="282"/>
      <c r="N179" s="282"/>
    </row>
    <row r="180" spans="1:15">
      <c r="A180" s="86" t="s">
        <v>7</v>
      </c>
      <c r="B180" s="271" t="s">
        <v>292</v>
      </c>
    </row>
    <row r="181" spans="1:15">
      <c r="A181" s="86" t="s">
        <v>9</v>
      </c>
      <c r="B181" s="86" t="str">
        <f ca="1">UPPER(CONCATENATE(DEC2HEX(RANDBETWEEN(0,POWER(16,8)),8),DEC2HEX(RANDBETWEEN(0,POWER(16,4)),4),"4",DEC2HEX(RANDBETWEEN(0,POWER(16,3)),3),DEC2HEX(RANDBETWEEN(8,11)),DEC2HEX(RANDBETWEEN(0,POWER(16,3)),3),DEC2HEX(RANDBETWEEN(0,POWER(16,8)),8),DEC2HEX(RANDBETWEEN(0,POWER(16,4)),4)))</f>
        <v>F12F2381CAF94415B999E7F95686DED6</v>
      </c>
    </row>
    <row r="182" spans="1:15">
      <c r="A182" s="86" t="s">
        <v>11</v>
      </c>
      <c r="B182" s="271" t="s">
        <v>293</v>
      </c>
    </row>
    <row r="183" spans="1:15">
      <c r="A183" s="86" t="s">
        <v>13</v>
      </c>
      <c r="B183" s="271" t="s">
        <v>58</v>
      </c>
    </row>
    <row r="184" spans="1:15">
      <c r="A184" s="86" t="s">
        <v>15</v>
      </c>
      <c r="B184" s="271">
        <v>1</v>
      </c>
    </row>
    <row r="185" spans="1:15">
      <c r="A185" s="86" t="s">
        <v>16</v>
      </c>
      <c r="B185" s="271" t="s">
        <v>17</v>
      </c>
    </row>
    <row r="186" spans="1:15">
      <c r="A186" s="86" t="s">
        <v>18</v>
      </c>
      <c r="B186" s="271" t="s">
        <v>18</v>
      </c>
    </row>
    <row r="187" spans="1:15" ht="15.75">
      <c r="A187" s="88" t="s">
        <v>19</v>
      </c>
    </row>
    <row r="188" spans="1:15" ht="15.75">
      <c r="A188" s="88" t="s">
        <v>20</v>
      </c>
      <c r="B188" s="273" t="s">
        <v>21</v>
      </c>
      <c r="C188" s="273" t="s">
        <v>198</v>
      </c>
      <c r="D188" s="88" t="s">
        <v>18</v>
      </c>
      <c r="E188" s="88" t="s">
        <v>22</v>
      </c>
      <c r="F188" s="88" t="s">
        <v>7</v>
      </c>
      <c r="G188" s="88" t="s">
        <v>13</v>
      </c>
      <c r="H188" s="88" t="s">
        <v>16</v>
      </c>
      <c r="I188" s="274" t="s">
        <v>23</v>
      </c>
      <c r="J188" s="274" t="s">
        <v>24</v>
      </c>
      <c r="K188" s="274" t="s">
        <v>25</v>
      </c>
      <c r="L188" s="274" t="s">
        <v>26</v>
      </c>
      <c r="M188" s="274" t="s">
        <v>27</v>
      </c>
      <c r="N188" s="274" t="s">
        <v>28</v>
      </c>
      <c r="O188" s="88" t="s">
        <v>11</v>
      </c>
    </row>
    <row r="189" spans="1:15" ht="15.75">
      <c r="A189" s="92" t="s">
        <v>358</v>
      </c>
      <c r="B189" s="275">
        <v>1</v>
      </c>
      <c r="C189" s="275"/>
      <c r="D189" s="92" t="s">
        <v>18</v>
      </c>
      <c r="E189" s="92" t="s">
        <v>2</v>
      </c>
      <c r="F189" s="86" t="s">
        <v>292</v>
      </c>
      <c r="G189" s="92" t="s">
        <v>58</v>
      </c>
      <c r="H189" s="92" t="s">
        <v>30</v>
      </c>
      <c r="I189" s="276">
        <v>0</v>
      </c>
      <c r="J189" s="276" t="s">
        <v>31</v>
      </c>
      <c r="K189" s="276" t="s">
        <v>31</v>
      </c>
      <c r="L189" s="276" t="s">
        <v>31</v>
      </c>
      <c r="M189" s="276" t="s">
        <v>31</v>
      </c>
      <c r="N189" s="276" t="s">
        <v>31</v>
      </c>
      <c r="O189" s="92" t="s">
        <v>294</v>
      </c>
    </row>
    <row r="190" spans="1:15" ht="15.75">
      <c r="A190" s="93" t="s">
        <v>356</v>
      </c>
      <c r="B190" s="271">
        <v>26.86</v>
      </c>
      <c r="D190" s="92" t="s">
        <v>37</v>
      </c>
      <c r="E190" s="93" t="s">
        <v>40</v>
      </c>
      <c r="F190" s="86" t="s">
        <v>29</v>
      </c>
      <c r="G190" s="86" t="s">
        <v>58</v>
      </c>
      <c r="H190" s="86" t="s">
        <v>33</v>
      </c>
      <c r="I190" s="272">
        <v>2</v>
      </c>
      <c r="J190" s="272">
        <f>LN(B190)</f>
        <v>3.2906381910950917</v>
      </c>
      <c r="K190" s="272">
        <v>3.9051247999999997E-2</v>
      </c>
      <c r="L190" s="276" t="s">
        <v>31</v>
      </c>
      <c r="M190" s="276" t="s">
        <v>31</v>
      </c>
      <c r="N190" s="276" t="s">
        <v>31</v>
      </c>
      <c r="O190" s="92" t="s">
        <v>359</v>
      </c>
    </row>
    <row r="191" spans="1:15" s="91" customFormat="1" ht="15.75">
      <c r="A191" s="280" t="s">
        <v>5</v>
      </c>
      <c r="B191" s="281" t="s">
        <v>360</v>
      </c>
      <c r="C191" s="281"/>
      <c r="D191" s="90" t="s">
        <v>361</v>
      </c>
      <c r="I191" s="282"/>
      <c r="J191" s="282"/>
      <c r="K191" s="282"/>
      <c r="L191" s="282"/>
      <c r="M191" s="282"/>
      <c r="N191" s="282"/>
    </row>
    <row r="192" spans="1:15">
      <c r="A192" s="86" t="s">
        <v>7</v>
      </c>
      <c r="B192" s="271" t="s">
        <v>292</v>
      </c>
    </row>
    <row r="193" spans="1:15">
      <c r="A193" s="86" t="s">
        <v>9</v>
      </c>
      <c r="B193" s="86" t="s">
        <v>362</v>
      </c>
    </row>
    <row r="194" spans="1:15">
      <c r="A194" s="86" t="s">
        <v>11</v>
      </c>
      <c r="B194" s="271" t="s">
        <v>293</v>
      </c>
    </row>
    <row r="195" spans="1:15">
      <c r="A195" s="86" t="s">
        <v>13</v>
      </c>
      <c r="B195" s="271" t="s">
        <v>14</v>
      </c>
    </row>
    <row r="196" spans="1:15">
      <c r="A196" s="86" t="s">
        <v>15</v>
      </c>
      <c r="B196" s="271">
        <v>1</v>
      </c>
    </row>
    <row r="197" spans="1:15">
      <c r="A197" s="86" t="s">
        <v>16</v>
      </c>
      <c r="B197" s="271" t="s">
        <v>17</v>
      </c>
    </row>
    <row r="198" spans="1:15">
      <c r="A198" s="86" t="s">
        <v>18</v>
      </c>
      <c r="B198" s="271" t="s">
        <v>18</v>
      </c>
    </row>
    <row r="199" spans="1:15" ht="15.75">
      <c r="A199" s="88" t="s">
        <v>19</v>
      </c>
    </row>
    <row r="200" spans="1:15" ht="15.75">
      <c r="A200" s="88" t="s">
        <v>20</v>
      </c>
      <c r="B200" s="273" t="s">
        <v>21</v>
      </c>
      <c r="C200" s="273" t="s">
        <v>198</v>
      </c>
      <c r="D200" s="88" t="s">
        <v>18</v>
      </c>
      <c r="E200" s="88" t="s">
        <v>22</v>
      </c>
      <c r="F200" s="88" t="s">
        <v>7</v>
      </c>
      <c r="G200" s="88" t="s">
        <v>13</v>
      </c>
      <c r="H200" s="88" t="s">
        <v>16</v>
      </c>
      <c r="I200" s="274" t="s">
        <v>23</v>
      </c>
      <c r="J200" s="274" t="s">
        <v>24</v>
      </c>
      <c r="K200" s="274" t="s">
        <v>25</v>
      </c>
      <c r="L200" s="274" t="s">
        <v>26</v>
      </c>
      <c r="M200" s="274" t="s">
        <v>27</v>
      </c>
      <c r="N200" s="274" t="s">
        <v>28</v>
      </c>
      <c r="O200" s="88" t="s">
        <v>11</v>
      </c>
    </row>
    <row r="201" spans="1:15" ht="15.75">
      <c r="A201" s="92" t="s">
        <v>360</v>
      </c>
      <c r="B201" s="275">
        <v>1</v>
      </c>
      <c r="C201" s="275"/>
      <c r="D201" s="92" t="s">
        <v>18</v>
      </c>
      <c r="E201" s="92" t="s">
        <v>2</v>
      </c>
      <c r="F201" s="86" t="s">
        <v>292</v>
      </c>
      <c r="G201" s="92" t="s">
        <v>14</v>
      </c>
      <c r="H201" s="92" t="s">
        <v>30</v>
      </c>
      <c r="I201" s="276">
        <v>0</v>
      </c>
      <c r="J201" s="276" t="s">
        <v>31</v>
      </c>
      <c r="K201" s="276" t="s">
        <v>31</v>
      </c>
      <c r="L201" s="276" t="s">
        <v>31</v>
      </c>
      <c r="M201" s="276" t="s">
        <v>31</v>
      </c>
      <c r="N201" s="276" t="s">
        <v>31</v>
      </c>
      <c r="O201" s="92" t="s">
        <v>363</v>
      </c>
    </row>
    <row r="202" spans="1:15" ht="15.75">
      <c r="A202" s="93" t="s">
        <v>352</v>
      </c>
      <c r="B202" s="271">
        <v>1</v>
      </c>
      <c r="D202" s="86" t="s">
        <v>18</v>
      </c>
      <c r="E202" s="86" t="s">
        <v>2</v>
      </c>
      <c r="F202" s="86" t="s">
        <v>292</v>
      </c>
      <c r="G202" s="86" t="s">
        <v>58</v>
      </c>
      <c r="H202" s="86" t="s">
        <v>33</v>
      </c>
      <c r="I202" s="276">
        <v>0</v>
      </c>
      <c r="J202" s="276" t="s">
        <v>31</v>
      </c>
      <c r="K202" s="276" t="s">
        <v>31</v>
      </c>
      <c r="L202" s="276" t="s">
        <v>31</v>
      </c>
      <c r="M202" s="276" t="s">
        <v>31</v>
      </c>
      <c r="N202" s="276" t="s">
        <v>31</v>
      </c>
    </row>
    <row r="203" spans="1:15" ht="15.75">
      <c r="A203" s="92" t="s">
        <v>358</v>
      </c>
      <c r="B203" s="275">
        <v>1</v>
      </c>
      <c r="C203" s="275"/>
      <c r="D203" s="92" t="s">
        <v>18</v>
      </c>
      <c r="E203" s="92" t="s">
        <v>2</v>
      </c>
      <c r="F203" s="86" t="s">
        <v>292</v>
      </c>
      <c r="G203" s="92" t="s">
        <v>58</v>
      </c>
      <c r="H203" s="86" t="s">
        <v>33</v>
      </c>
      <c r="I203" s="276">
        <v>0</v>
      </c>
      <c r="J203" s="276" t="s">
        <v>31</v>
      </c>
      <c r="K203" s="276" t="s">
        <v>31</v>
      </c>
      <c r="L203" s="276" t="s">
        <v>31</v>
      </c>
      <c r="M203" s="276" t="s">
        <v>31</v>
      </c>
      <c r="N203" s="276" t="s">
        <v>31</v>
      </c>
      <c r="O203" s="92"/>
    </row>
    <row r="204" spans="1:15" ht="15.75">
      <c r="A204" s="93" t="s">
        <v>357</v>
      </c>
      <c r="B204" s="271">
        <v>1</v>
      </c>
      <c r="D204" s="92" t="s">
        <v>18</v>
      </c>
      <c r="E204" s="92" t="s">
        <v>2</v>
      </c>
      <c r="F204" s="92" t="s">
        <v>292</v>
      </c>
      <c r="G204" s="92" t="s">
        <v>58</v>
      </c>
      <c r="H204" s="86" t="s">
        <v>33</v>
      </c>
      <c r="I204" s="276">
        <v>0</v>
      </c>
      <c r="J204" s="276" t="s">
        <v>31</v>
      </c>
      <c r="K204" s="276" t="s">
        <v>31</v>
      </c>
      <c r="L204" s="276" t="s">
        <v>31</v>
      </c>
      <c r="M204" s="276" t="s">
        <v>31</v>
      </c>
      <c r="N204" s="276" t="s">
        <v>31</v>
      </c>
    </row>
    <row r="205" spans="1:15" ht="15.75">
      <c r="A205" s="86" t="s">
        <v>348</v>
      </c>
      <c r="B205" s="271">
        <v>6.72</v>
      </c>
      <c r="D205" s="86" t="s">
        <v>37</v>
      </c>
      <c r="E205" s="93" t="s">
        <v>40</v>
      </c>
      <c r="F205" s="86" t="s">
        <v>29</v>
      </c>
      <c r="G205" s="86" t="s">
        <v>58</v>
      </c>
      <c r="H205" s="86" t="s">
        <v>33</v>
      </c>
      <c r="I205" s="272">
        <v>2</v>
      </c>
      <c r="J205" s="276">
        <f>LN(B205)</f>
        <v>1.9050881545350582</v>
      </c>
      <c r="K205" s="272">
        <v>9.1651514000000003E-2</v>
      </c>
      <c r="L205" s="276" t="s">
        <v>31</v>
      </c>
      <c r="M205" s="276" t="s">
        <v>31</v>
      </c>
      <c r="N205" s="276" t="s">
        <v>31</v>
      </c>
      <c r="O205" s="86" t="s">
        <v>364</v>
      </c>
    </row>
    <row r="206" spans="1:15" ht="15.75">
      <c r="A206" s="86" t="s">
        <v>38</v>
      </c>
      <c r="B206" s="271">
        <f>0.03*3357.873</f>
        <v>100.73618999999999</v>
      </c>
      <c r="D206" s="86" t="s">
        <v>39</v>
      </c>
      <c r="E206" s="93" t="s">
        <v>40</v>
      </c>
      <c r="F206" s="86" t="s">
        <v>29</v>
      </c>
      <c r="G206" s="86" t="s">
        <v>14</v>
      </c>
      <c r="H206" s="86" t="s">
        <v>33</v>
      </c>
      <c r="I206" s="272">
        <v>2</v>
      </c>
      <c r="J206" s="276">
        <f>LN(B206)</f>
        <v>4.6125051194712752</v>
      </c>
      <c r="K206" s="272">
        <v>0.03</v>
      </c>
      <c r="L206" s="276" t="s">
        <v>31</v>
      </c>
      <c r="M206" s="276" t="s">
        <v>31</v>
      </c>
      <c r="N206" s="276" t="s">
        <v>31</v>
      </c>
      <c r="O206" s="86" t="s">
        <v>365</v>
      </c>
    </row>
    <row r="207" spans="1:15">
      <c r="E207" s="93"/>
      <c r="O207" s="272"/>
    </row>
    <row r="216" spans="2:5">
      <c r="B216" s="291"/>
    </row>
    <row r="221" spans="2:5">
      <c r="E221" s="271"/>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473A6-A807-4AC6-A669-E36BCE2F71B1}">
  <dimension ref="A1:S147"/>
  <sheetViews>
    <sheetView topLeftCell="A79" zoomScale="70" zoomScaleNormal="70" workbookViewId="0">
      <selection activeCell="I122" sqref="I122"/>
    </sheetView>
  </sheetViews>
  <sheetFormatPr defaultColWidth="8.7109375" defaultRowHeight="15"/>
  <cols>
    <col min="1" max="1" width="54.42578125" style="86" customWidth="1"/>
    <col min="2" max="2" width="13.5703125" style="86" customWidth="1"/>
    <col min="3" max="3" width="19.85546875" style="86" customWidth="1"/>
    <col min="4" max="4" width="10.140625" style="86" customWidth="1"/>
    <col min="5" max="5" width="31" style="86" bestFit="1" customWidth="1"/>
    <col min="6" max="6" width="25.5703125" style="86" customWidth="1"/>
    <col min="7" max="14" width="8.7109375" style="86"/>
    <col min="15" max="15" width="40.140625" style="86" bestFit="1" customWidth="1"/>
    <col min="16" max="18" width="8.7109375" style="86"/>
    <col min="19" max="19" width="14.85546875" style="86" bestFit="1" customWidth="1"/>
    <col min="20" max="16384" width="8.7109375" style="86"/>
  </cols>
  <sheetData>
    <row r="1" spans="1:19">
      <c r="A1" s="86" t="s">
        <v>0</v>
      </c>
      <c r="B1" s="86">
        <v>15</v>
      </c>
      <c r="D1" s="87" t="s">
        <v>277</v>
      </c>
    </row>
    <row r="2" spans="1:19" s="91" customFormat="1" ht="15.75">
      <c r="A2" s="89" t="s">
        <v>5</v>
      </c>
      <c r="B2" s="89" t="s">
        <v>366</v>
      </c>
      <c r="C2" s="89"/>
      <c r="D2" s="90" t="s">
        <v>361</v>
      </c>
    </row>
    <row r="3" spans="1:19">
      <c r="A3" s="86" t="s">
        <v>7</v>
      </c>
      <c r="B3" s="86" t="s">
        <v>292</v>
      </c>
    </row>
    <row r="4" spans="1:19">
      <c r="A4" s="86" t="s">
        <v>9</v>
      </c>
      <c r="B4" s="86" t="s">
        <v>367</v>
      </c>
    </row>
    <row r="5" spans="1:19">
      <c r="A5" s="86" t="s">
        <v>11</v>
      </c>
      <c r="B5" s="86" t="s">
        <v>368</v>
      </c>
    </row>
    <row r="6" spans="1:19">
      <c r="A6" s="86" t="s">
        <v>13</v>
      </c>
      <c r="B6" s="86" t="s">
        <v>35</v>
      </c>
    </row>
    <row r="7" spans="1:19">
      <c r="A7" s="86" t="s">
        <v>15</v>
      </c>
      <c r="B7" s="86">
        <v>1</v>
      </c>
    </row>
    <row r="8" spans="1:19">
      <c r="A8" s="86" t="s">
        <v>16</v>
      </c>
      <c r="B8" s="86" t="s">
        <v>17</v>
      </c>
    </row>
    <row r="9" spans="1:19">
      <c r="A9" s="86" t="s">
        <v>18</v>
      </c>
      <c r="B9" s="86" t="s">
        <v>18</v>
      </c>
      <c r="E9" s="86" t="s">
        <v>197</v>
      </c>
    </row>
    <row r="10" spans="1:19" ht="15.75">
      <c r="A10" s="88" t="s">
        <v>19</v>
      </c>
    </row>
    <row r="11" spans="1:19" ht="15.75">
      <c r="A11" s="88" t="s">
        <v>20</v>
      </c>
      <c r="B11" s="88" t="s">
        <v>21</v>
      </c>
      <c r="C11" s="88" t="s">
        <v>198</v>
      </c>
      <c r="D11" s="88" t="s">
        <v>18</v>
      </c>
      <c r="E11" s="88" t="s">
        <v>22</v>
      </c>
      <c r="F11" s="88" t="s">
        <v>7</v>
      </c>
      <c r="G11" s="88" t="s">
        <v>13</v>
      </c>
      <c r="H11" s="88" t="s">
        <v>16</v>
      </c>
      <c r="I11" s="88" t="s">
        <v>23</v>
      </c>
      <c r="J11" s="88" t="s">
        <v>24</v>
      </c>
      <c r="K11" s="88" t="s">
        <v>25</v>
      </c>
      <c r="L11" s="88" t="s">
        <v>26</v>
      </c>
      <c r="M11" s="88" t="s">
        <v>27</v>
      </c>
      <c r="N11" s="88" t="s">
        <v>28</v>
      </c>
      <c r="O11" s="88" t="s">
        <v>11</v>
      </c>
    </row>
    <row r="12" spans="1:19" ht="15.75">
      <c r="A12" s="86" t="s">
        <v>366</v>
      </c>
      <c r="B12" s="86">
        <v>1</v>
      </c>
      <c r="D12" s="86" t="s">
        <v>18</v>
      </c>
      <c r="E12" s="92" t="s">
        <v>2</v>
      </c>
      <c r="F12" s="86" t="s">
        <v>292</v>
      </c>
      <c r="G12" s="86" t="s">
        <v>35</v>
      </c>
      <c r="H12" s="86" t="s">
        <v>30</v>
      </c>
      <c r="I12" s="86">
        <v>2</v>
      </c>
      <c r="J12" s="92">
        <f>LN(B12)</f>
        <v>0</v>
      </c>
      <c r="K12" s="86">
        <v>0.22051077071199943</v>
      </c>
      <c r="L12" s="92" t="s">
        <v>31</v>
      </c>
      <c r="M12" s="92" t="s">
        <v>31</v>
      </c>
      <c r="N12" s="92" t="s">
        <v>31</v>
      </c>
      <c r="O12" s="92"/>
    </row>
    <row r="13" spans="1:19" ht="15.75">
      <c r="A13" s="86" t="s">
        <v>369</v>
      </c>
      <c r="B13" s="86">
        <v>-26.862984000000001</v>
      </c>
      <c r="D13" s="86" t="s">
        <v>37</v>
      </c>
      <c r="E13" s="93" t="s">
        <v>40</v>
      </c>
      <c r="F13" s="86" t="s">
        <v>29</v>
      </c>
      <c r="G13" s="86" t="s">
        <v>35</v>
      </c>
      <c r="H13" s="86" t="s">
        <v>33</v>
      </c>
      <c r="I13" s="86">
        <v>0</v>
      </c>
      <c r="J13" s="92" t="s">
        <v>31</v>
      </c>
      <c r="K13" s="92" t="s">
        <v>31</v>
      </c>
      <c r="L13" s="92" t="s">
        <v>31</v>
      </c>
      <c r="M13" s="92" t="s">
        <v>31</v>
      </c>
      <c r="N13" s="92" t="s">
        <v>31</v>
      </c>
      <c r="O13" s="86" t="s">
        <v>370</v>
      </c>
    </row>
    <row r="14" spans="1:19" s="91" customFormat="1" ht="15.75">
      <c r="A14" s="89" t="s">
        <v>5</v>
      </c>
      <c r="B14" s="89" t="s">
        <v>371</v>
      </c>
      <c r="C14" s="89"/>
      <c r="D14" s="90" t="s">
        <v>361</v>
      </c>
      <c r="P14" s="86"/>
      <c r="Q14" s="86"/>
      <c r="S14" s="86"/>
    </row>
    <row r="15" spans="1:19">
      <c r="A15" s="86" t="s">
        <v>7</v>
      </c>
      <c r="B15" s="86" t="s">
        <v>292</v>
      </c>
    </row>
    <row r="16" spans="1:19">
      <c r="A16" s="86" t="s">
        <v>9</v>
      </c>
      <c r="B16" s="86" t="s">
        <v>372</v>
      </c>
    </row>
    <row r="17" spans="1:19">
      <c r="A17" s="86" t="s">
        <v>11</v>
      </c>
      <c r="B17" s="86" t="s">
        <v>368</v>
      </c>
    </row>
    <row r="18" spans="1:19">
      <c r="A18" s="86" t="s">
        <v>13</v>
      </c>
      <c r="B18" s="86" t="s">
        <v>35</v>
      </c>
    </row>
    <row r="19" spans="1:19">
      <c r="A19" s="86" t="s">
        <v>15</v>
      </c>
      <c r="B19" s="86">
        <v>1</v>
      </c>
    </row>
    <row r="20" spans="1:19">
      <c r="A20" s="86" t="s">
        <v>16</v>
      </c>
      <c r="B20" s="86" t="s">
        <v>17</v>
      </c>
    </row>
    <row r="21" spans="1:19">
      <c r="A21" s="86" t="s">
        <v>18</v>
      </c>
      <c r="B21" s="86" t="s">
        <v>18</v>
      </c>
      <c r="E21" s="86" t="s">
        <v>197</v>
      </c>
    </row>
    <row r="22" spans="1:19" ht="15.75">
      <c r="A22" s="88" t="s">
        <v>19</v>
      </c>
    </row>
    <row r="23" spans="1:19" ht="15.75">
      <c r="A23" s="88" t="s">
        <v>20</v>
      </c>
      <c r="B23" s="88" t="s">
        <v>21</v>
      </c>
      <c r="C23" s="88" t="s">
        <v>198</v>
      </c>
      <c r="D23" s="88" t="s">
        <v>18</v>
      </c>
      <c r="E23" s="88" t="s">
        <v>22</v>
      </c>
      <c r="F23" s="88" t="s">
        <v>7</v>
      </c>
      <c r="G23" s="88" t="s">
        <v>13</v>
      </c>
      <c r="H23" s="88" t="s">
        <v>16</v>
      </c>
      <c r="I23" s="88" t="s">
        <v>23</v>
      </c>
      <c r="J23" s="88" t="s">
        <v>24</v>
      </c>
      <c r="K23" s="88" t="s">
        <v>25</v>
      </c>
      <c r="L23" s="88" t="s">
        <v>26</v>
      </c>
      <c r="M23" s="88" t="s">
        <v>27</v>
      </c>
      <c r="N23" s="88" t="s">
        <v>28</v>
      </c>
      <c r="O23" s="88" t="s">
        <v>11</v>
      </c>
    </row>
    <row r="24" spans="1:19" ht="15.75">
      <c r="A24" s="86" t="s">
        <v>371</v>
      </c>
      <c r="B24" s="86">
        <v>1</v>
      </c>
      <c r="D24" s="86" t="s">
        <v>18</v>
      </c>
      <c r="E24" s="92" t="s">
        <v>2</v>
      </c>
      <c r="F24" s="86" t="s">
        <v>292</v>
      </c>
      <c r="G24" s="86" t="s">
        <v>35</v>
      </c>
      <c r="H24" s="86" t="s">
        <v>30</v>
      </c>
      <c r="I24" s="86">
        <v>0</v>
      </c>
      <c r="J24" s="92">
        <f>LN(B24)</f>
        <v>0</v>
      </c>
      <c r="K24" s="86">
        <v>0.22051077071199943</v>
      </c>
      <c r="L24" s="92" t="s">
        <v>31</v>
      </c>
      <c r="M24" s="92" t="s">
        <v>31</v>
      </c>
      <c r="N24" s="92" t="s">
        <v>31</v>
      </c>
      <c r="O24" s="92" t="s">
        <v>373</v>
      </c>
    </row>
    <row r="25" spans="1:19" ht="15.75">
      <c r="A25" s="86" t="s">
        <v>369</v>
      </c>
      <c r="B25" s="86">
        <v>-6.7157460000000002</v>
      </c>
      <c r="D25" s="86" t="s">
        <v>37</v>
      </c>
      <c r="E25" s="93" t="s">
        <v>40</v>
      </c>
      <c r="F25" s="86" t="s">
        <v>29</v>
      </c>
      <c r="G25" s="86" t="s">
        <v>35</v>
      </c>
      <c r="H25" s="86" t="s">
        <v>33</v>
      </c>
      <c r="I25" s="86">
        <v>0</v>
      </c>
      <c r="J25" s="92" t="s">
        <v>31</v>
      </c>
      <c r="K25" s="92" t="s">
        <v>31</v>
      </c>
      <c r="L25" s="92" t="s">
        <v>31</v>
      </c>
      <c r="M25" s="92" t="s">
        <v>31</v>
      </c>
      <c r="N25" s="92" t="s">
        <v>31</v>
      </c>
      <c r="O25" s="86" t="s">
        <v>370</v>
      </c>
    </row>
    <row r="26" spans="1:19" s="91" customFormat="1" ht="15.75">
      <c r="A26" s="89" t="s">
        <v>5</v>
      </c>
      <c r="B26" s="89" t="s">
        <v>374</v>
      </c>
      <c r="C26" s="89"/>
      <c r="D26" s="90" t="s">
        <v>361</v>
      </c>
      <c r="P26" s="86"/>
      <c r="Q26" s="86"/>
      <c r="S26" s="86"/>
    </row>
    <row r="27" spans="1:19">
      <c r="A27" s="86" t="s">
        <v>7</v>
      </c>
      <c r="B27" s="86" t="s">
        <v>292</v>
      </c>
    </row>
    <row r="28" spans="1:19">
      <c r="A28" s="86" t="s">
        <v>9</v>
      </c>
      <c r="B28" s="86" t="s">
        <v>375</v>
      </c>
    </row>
    <row r="29" spans="1:19">
      <c r="A29" s="86" t="s">
        <v>11</v>
      </c>
      <c r="B29" s="86" t="s">
        <v>368</v>
      </c>
    </row>
    <row r="30" spans="1:19">
      <c r="A30" s="86" t="s">
        <v>13</v>
      </c>
      <c r="B30" s="86" t="s">
        <v>58</v>
      </c>
    </row>
    <row r="31" spans="1:19">
      <c r="A31" s="86" t="s">
        <v>15</v>
      </c>
      <c r="B31" s="86">
        <v>1</v>
      </c>
    </row>
    <row r="32" spans="1:19">
      <c r="A32" s="86" t="s">
        <v>16</v>
      </c>
      <c r="B32" s="86" t="s">
        <v>17</v>
      </c>
    </row>
    <row r="33" spans="1:19">
      <c r="A33" s="86" t="s">
        <v>18</v>
      </c>
      <c r="B33" s="86" t="s">
        <v>18</v>
      </c>
      <c r="E33" s="86" t="s">
        <v>197</v>
      </c>
    </row>
    <row r="34" spans="1:19" ht="15.75">
      <c r="A34" s="88" t="s">
        <v>19</v>
      </c>
    </row>
    <row r="35" spans="1:19" ht="15.75">
      <c r="A35" s="88" t="s">
        <v>20</v>
      </c>
      <c r="B35" s="88" t="s">
        <v>21</v>
      </c>
      <c r="C35" s="88" t="s">
        <v>198</v>
      </c>
      <c r="D35" s="88" t="s">
        <v>18</v>
      </c>
      <c r="E35" s="88" t="s">
        <v>22</v>
      </c>
      <c r="F35" s="88" t="s">
        <v>7</v>
      </c>
      <c r="G35" s="88" t="s">
        <v>13</v>
      </c>
      <c r="H35" s="88" t="s">
        <v>16</v>
      </c>
      <c r="I35" s="88" t="s">
        <v>23</v>
      </c>
      <c r="J35" s="88" t="s">
        <v>24</v>
      </c>
      <c r="K35" s="88" t="s">
        <v>25</v>
      </c>
      <c r="L35" s="88" t="s">
        <v>26</v>
      </c>
      <c r="M35" s="88" t="s">
        <v>27</v>
      </c>
      <c r="N35" s="88" t="s">
        <v>28</v>
      </c>
      <c r="O35" s="88" t="s">
        <v>11</v>
      </c>
    </row>
    <row r="36" spans="1:19" ht="15.75">
      <c r="A36" s="86" t="s">
        <v>374</v>
      </c>
      <c r="B36" s="86">
        <v>1</v>
      </c>
      <c r="D36" s="86" t="s">
        <v>18</v>
      </c>
      <c r="E36" s="92" t="s">
        <v>2</v>
      </c>
      <c r="F36" s="86" t="s">
        <v>292</v>
      </c>
      <c r="G36" s="86" t="s">
        <v>58</v>
      </c>
      <c r="H36" s="86" t="s">
        <v>30</v>
      </c>
      <c r="I36" s="86">
        <v>0</v>
      </c>
      <c r="J36" s="92" t="s">
        <v>31</v>
      </c>
      <c r="K36" s="92" t="s">
        <v>31</v>
      </c>
      <c r="L36" s="92" t="s">
        <v>31</v>
      </c>
      <c r="M36" s="92" t="s">
        <v>31</v>
      </c>
      <c r="N36" s="92" t="s">
        <v>31</v>
      </c>
      <c r="O36" s="92" t="s">
        <v>376</v>
      </c>
    </row>
    <row r="37" spans="1:19" ht="15.75">
      <c r="A37" s="86" t="s">
        <v>245</v>
      </c>
      <c r="B37" s="86">
        <v>78.574228200000007</v>
      </c>
      <c r="D37" s="86" t="s">
        <v>37</v>
      </c>
      <c r="E37" s="93" t="s">
        <v>40</v>
      </c>
      <c r="F37" s="86" t="s">
        <v>29</v>
      </c>
      <c r="G37" s="86" t="s">
        <v>35</v>
      </c>
      <c r="H37" s="86" t="s">
        <v>33</v>
      </c>
      <c r="I37" s="86">
        <v>2</v>
      </c>
      <c r="J37" s="92">
        <f>LN(B37)</f>
        <v>4.3640437601727751</v>
      </c>
      <c r="K37" s="86">
        <v>0.22051077071199943</v>
      </c>
      <c r="L37" s="92" t="s">
        <v>31</v>
      </c>
      <c r="M37" s="92" t="s">
        <v>31</v>
      </c>
      <c r="N37" s="92" t="s">
        <v>31</v>
      </c>
      <c r="O37" s="86" t="s">
        <v>377</v>
      </c>
    </row>
    <row r="38" spans="1:19" ht="15.75">
      <c r="A38" s="86" t="s">
        <v>247</v>
      </c>
      <c r="B38" s="86">
        <v>78.574228200000007</v>
      </c>
      <c r="C38" s="42" t="s">
        <v>248</v>
      </c>
      <c r="D38" s="86" t="s">
        <v>37</v>
      </c>
      <c r="E38" s="93" t="s">
        <v>40</v>
      </c>
      <c r="F38" s="86" t="s">
        <v>29</v>
      </c>
      <c r="G38" s="86" t="s">
        <v>35</v>
      </c>
      <c r="H38" s="86" t="s">
        <v>33</v>
      </c>
      <c r="I38" s="86">
        <v>2</v>
      </c>
      <c r="J38" s="92">
        <f>LN(B38)</f>
        <v>4.3640437601727751</v>
      </c>
      <c r="K38" s="86">
        <v>0.22051077071199943</v>
      </c>
      <c r="L38" s="92" t="s">
        <v>31</v>
      </c>
      <c r="M38" s="92" t="s">
        <v>31</v>
      </c>
      <c r="N38" s="92" t="s">
        <v>31</v>
      </c>
      <c r="O38" s="86" t="s">
        <v>378</v>
      </c>
    </row>
    <row r="39" spans="1:19" ht="15.75">
      <c r="A39" s="86" t="s">
        <v>329</v>
      </c>
      <c r="B39" s="86">
        <f>0.95*B38</f>
        <v>74.645516790000002</v>
      </c>
      <c r="D39" s="86" t="s">
        <v>37</v>
      </c>
      <c r="E39" s="93" t="s">
        <v>40</v>
      </c>
      <c r="F39" s="86" t="s">
        <v>29</v>
      </c>
      <c r="G39" s="86" t="s">
        <v>58</v>
      </c>
      <c r="H39" s="86" t="s">
        <v>243</v>
      </c>
      <c r="I39" s="86">
        <v>2</v>
      </c>
      <c r="J39" s="92">
        <f>LN(B39)</f>
        <v>4.3127504657852249</v>
      </c>
      <c r="K39" s="86">
        <v>0.22051077071199943</v>
      </c>
      <c r="L39" s="86" t="s">
        <v>31</v>
      </c>
      <c r="M39" s="86" t="s">
        <v>31</v>
      </c>
      <c r="N39" s="86" t="s">
        <v>31</v>
      </c>
      <c r="O39" s="86" t="s">
        <v>379</v>
      </c>
    </row>
    <row r="40" spans="1:19">
      <c r="A40" s="86" t="s">
        <v>380</v>
      </c>
      <c r="B40" s="86">
        <f>-(8.73+0.05*B37)</f>
        <v>-12.65871141</v>
      </c>
      <c r="D40" s="86" t="s">
        <v>37</v>
      </c>
      <c r="E40" s="93" t="s">
        <v>40</v>
      </c>
      <c r="F40" s="86" t="s">
        <v>29</v>
      </c>
      <c r="G40" s="86" t="s">
        <v>58</v>
      </c>
      <c r="H40" s="86" t="s">
        <v>33</v>
      </c>
      <c r="I40" s="86">
        <v>0</v>
      </c>
      <c r="J40" s="86" t="s">
        <v>31</v>
      </c>
      <c r="K40" s="86" t="s">
        <v>31</v>
      </c>
      <c r="L40" s="86" t="s">
        <v>31</v>
      </c>
      <c r="M40" s="86" t="s">
        <v>31</v>
      </c>
      <c r="N40" s="86" t="s">
        <v>31</v>
      </c>
      <c r="O40" s="86" t="s">
        <v>381</v>
      </c>
    </row>
    <row r="41" spans="1:19" s="91" customFormat="1" ht="15.75">
      <c r="A41" s="89" t="s">
        <v>5</v>
      </c>
      <c r="B41" s="89" t="s">
        <v>382</v>
      </c>
      <c r="C41" s="89"/>
      <c r="D41" s="90" t="s">
        <v>361</v>
      </c>
      <c r="P41" s="86"/>
      <c r="Q41" s="86"/>
      <c r="S41" s="86"/>
    </row>
    <row r="42" spans="1:19">
      <c r="A42" s="86" t="s">
        <v>7</v>
      </c>
      <c r="B42" s="86" t="s">
        <v>292</v>
      </c>
    </row>
    <row r="43" spans="1:19">
      <c r="A43" s="86" t="s">
        <v>9</v>
      </c>
      <c r="B43" s="86" t="s">
        <v>383</v>
      </c>
    </row>
    <row r="44" spans="1:19">
      <c r="A44" s="86" t="s">
        <v>11</v>
      </c>
      <c r="B44" s="86" t="s">
        <v>384</v>
      </c>
    </row>
    <row r="45" spans="1:19">
      <c r="A45" s="86" t="s">
        <v>13</v>
      </c>
      <c r="B45" s="86" t="s">
        <v>35</v>
      </c>
    </row>
    <row r="46" spans="1:19">
      <c r="A46" s="86" t="s">
        <v>15</v>
      </c>
      <c r="B46" s="86">
        <v>1</v>
      </c>
    </row>
    <row r="47" spans="1:19">
      <c r="A47" s="86" t="s">
        <v>16</v>
      </c>
      <c r="B47" s="86" t="s">
        <v>17</v>
      </c>
    </row>
    <row r="48" spans="1:19">
      <c r="A48" s="86" t="s">
        <v>18</v>
      </c>
      <c r="B48" s="86" t="s">
        <v>18</v>
      </c>
      <c r="E48" s="86" t="s">
        <v>197</v>
      </c>
    </row>
    <row r="49" spans="1:19" ht="15.75">
      <c r="A49" s="88" t="s">
        <v>19</v>
      </c>
    </row>
    <row r="50" spans="1:19" ht="15.75">
      <c r="A50" s="88" t="s">
        <v>20</v>
      </c>
      <c r="B50" s="88" t="s">
        <v>21</v>
      </c>
      <c r="C50" s="88" t="s">
        <v>198</v>
      </c>
      <c r="D50" s="88" t="s">
        <v>18</v>
      </c>
      <c r="E50" s="88" t="s">
        <v>22</v>
      </c>
      <c r="F50" s="88" t="s">
        <v>7</v>
      </c>
      <c r="G50" s="88" t="s">
        <v>13</v>
      </c>
      <c r="H50" s="88" t="s">
        <v>16</v>
      </c>
      <c r="I50" s="88" t="s">
        <v>23</v>
      </c>
      <c r="J50" s="88" t="s">
        <v>24</v>
      </c>
      <c r="K50" s="88" t="s">
        <v>25</v>
      </c>
      <c r="L50" s="88" t="s">
        <v>26</v>
      </c>
      <c r="M50" s="88" t="s">
        <v>27</v>
      </c>
      <c r="N50" s="88" t="s">
        <v>28</v>
      </c>
      <c r="O50" s="88" t="s">
        <v>11</v>
      </c>
    </row>
    <row r="51" spans="1:19" ht="15.75">
      <c r="A51" s="86" t="s">
        <v>382</v>
      </c>
      <c r="B51" s="86">
        <v>1</v>
      </c>
      <c r="D51" s="86" t="s">
        <v>18</v>
      </c>
      <c r="E51" s="92" t="s">
        <v>2</v>
      </c>
      <c r="F51" s="86" t="s">
        <v>292</v>
      </c>
      <c r="G51" s="86" t="s">
        <v>35</v>
      </c>
      <c r="H51" s="86" t="s">
        <v>30</v>
      </c>
      <c r="I51" s="86">
        <v>0</v>
      </c>
      <c r="J51" s="92" t="s">
        <v>31</v>
      </c>
      <c r="K51" s="92" t="s">
        <v>31</v>
      </c>
      <c r="L51" s="92" t="s">
        <v>31</v>
      </c>
      <c r="M51" s="92" t="s">
        <v>31</v>
      </c>
      <c r="N51" s="92" t="s">
        <v>31</v>
      </c>
      <c r="O51" s="92" t="s">
        <v>294</v>
      </c>
    </row>
    <row r="52" spans="1:19">
      <c r="A52" s="86" t="s">
        <v>385</v>
      </c>
      <c r="B52" s="86">
        <v>-50.54</v>
      </c>
      <c r="D52" s="86" t="s">
        <v>37</v>
      </c>
      <c r="E52" s="93" t="s">
        <v>40</v>
      </c>
      <c r="F52" s="86" t="s">
        <v>29</v>
      </c>
      <c r="G52" s="86" t="s">
        <v>164</v>
      </c>
      <c r="H52" s="86" t="s">
        <v>33</v>
      </c>
      <c r="I52" s="86">
        <v>5</v>
      </c>
      <c r="J52" s="86">
        <f>B52</f>
        <v>-50.54</v>
      </c>
      <c r="K52" s="86" t="s">
        <v>31</v>
      </c>
      <c r="L52" s="86" t="s">
        <v>31</v>
      </c>
      <c r="M52" s="86">
        <f>J52*1.05</f>
        <v>-53.067</v>
      </c>
      <c r="N52" s="86">
        <f>J52*0.95</f>
        <v>-48.012999999999998</v>
      </c>
      <c r="O52" s="86" t="s">
        <v>386</v>
      </c>
    </row>
    <row r="53" spans="1:19">
      <c r="A53" s="86" t="s">
        <v>220</v>
      </c>
      <c r="B53" s="86">
        <f>-2.23*B52/2</f>
        <v>56.3521</v>
      </c>
      <c r="D53" s="86" t="s">
        <v>170</v>
      </c>
      <c r="E53" s="93" t="s">
        <v>40</v>
      </c>
      <c r="F53" s="86" t="s">
        <v>29</v>
      </c>
      <c r="G53" s="86" t="s">
        <v>58</v>
      </c>
      <c r="H53" s="86" t="s">
        <v>243</v>
      </c>
      <c r="I53" s="86">
        <v>5</v>
      </c>
      <c r="J53" s="86">
        <f t="shared" ref="J53:J58" si="0">B53</f>
        <v>56.3521</v>
      </c>
      <c r="K53" s="86" t="s">
        <v>31</v>
      </c>
      <c r="L53" s="86" t="s">
        <v>31</v>
      </c>
      <c r="M53" s="86">
        <f t="shared" ref="M53:M58" si="1">J53*(0.95)</f>
        <v>53.534495</v>
      </c>
      <c r="N53" s="86">
        <f t="shared" ref="N53:N58" si="2">J53*1.05</f>
        <v>59.169705</v>
      </c>
      <c r="O53" s="86" t="s">
        <v>387</v>
      </c>
    </row>
    <row r="54" spans="1:19">
      <c r="A54" s="86" t="s">
        <v>38</v>
      </c>
      <c r="B54" s="86">
        <f>-1.55*B52/2</f>
        <v>39.168500000000002</v>
      </c>
      <c r="D54" s="86" t="s">
        <v>39</v>
      </c>
      <c r="E54" s="93" t="s">
        <v>40</v>
      </c>
      <c r="F54" s="86" t="s">
        <v>29</v>
      </c>
      <c r="G54" s="86" t="s">
        <v>14</v>
      </c>
      <c r="H54" s="86" t="s">
        <v>243</v>
      </c>
      <c r="I54" s="86">
        <v>5</v>
      </c>
      <c r="J54" s="86">
        <f t="shared" si="0"/>
        <v>39.168500000000002</v>
      </c>
      <c r="K54" s="86" t="s">
        <v>31</v>
      </c>
      <c r="L54" s="86" t="s">
        <v>31</v>
      </c>
      <c r="M54" s="86">
        <f t="shared" si="1"/>
        <v>37.210075000000003</v>
      </c>
      <c r="N54" s="86">
        <f t="shared" si="2"/>
        <v>41.126925</v>
      </c>
      <c r="O54" s="86" t="s">
        <v>388</v>
      </c>
    </row>
    <row r="55" spans="1:19">
      <c r="A55" s="86" t="s">
        <v>389</v>
      </c>
      <c r="B55" s="86">
        <v>-0.435</v>
      </c>
      <c r="D55" s="86" t="s">
        <v>37</v>
      </c>
      <c r="E55" s="93" t="s">
        <v>40</v>
      </c>
      <c r="F55" s="86" t="s">
        <v>29</v>
      </c>
      <c r="G55" s="86" t="s">
        <v>164</v>
      </c>
      <c r="H55" s="86" t="s">
        <v>33</v>
      </c>
      <c r="I55" s="86">
        <v>5</v>
      </c>
      <c r="J55" s="86">
        <f t="shared" si="0"/>
        <v>-0.435</v>
      </c>
      <c r="K55" s="86" t="s">
        <v>31</v>
      </c>
      <c r="L55" s="86" t="s">
        <v>31</v>
      </c>
      <c r="M55" s="86">
        <f t="shared" ref="M55:M56" si="3">J55*1.05</f>
        <v>-0.45674999999999999</v>
      </c>
      <c r="N55" s="86">
        <f t="shared" ref="N55:N56" si="4">J55*0.95</f>
        <v>-0.41325000000000001</v>
      </c>
      <c r="O55" s="86" t="s">
        <v>390</v>
      </c>
    </row>
    <row r="56" spans="1:19">
      <c r="A56" s="86" t="s">
        <v>389</v>
      </c>
      <c r="B56" s="86">
        <v>-0.46800000000000003</v>
      </c>
      <c r="D56" s="86" t="s">
        <v>37</v>
      </c>
      <c r="E56" s="93" t="s">
        <v>40</v>
      </c>
      <c r="F56" s="86" t="s">
        <v>29</v>
      </c>
      <c r="G56" s="86" t="s">
        <v>164</v>
      </c>
      <c r="H56" s="86" t="s">
        <v>33</v>
      </c>
      <c r="I56" s="86">
        <v>5</v>
      </c>
      <c r="J56" s="86">
        <f t="shared" si="0"/>
        <v>-0.46800000000000003</v>
      </c>
      <c r="K56" s="86" t="s">
        <v>31</v>
      </c>
      <c r="L56" s="86" t="s">
        <v>31</v>
      </c>
      <c r="M56" s="86">
        <f t="shared" si="3"/>
        <v>-0.49140000000000006</v>
      </c>
      <c r="N56" s="86">
        <f t="shared" si="4"/>
        <v>-0.4446</v>
      </c>
      <c r="O56" s="86" t="s">
        <v>390</v>
      </c>
    </row>
    <row r="57" spans="1:19">
      <c r="A57" s="86" t="s">
        <v>38</v>
      </c>
      <c r="B57" s="86">
        <f>-1.54*(B56+B55)/2</f>
        <v>0.69530999999999998</v>
      </c>
      <c r="D57" s="86" t="s">
        <v>39</v>
      </c>
      <c r="E57" s="93" t="s">
        <v>40</v>
      </c>
      <c r="F57" s="86" t="s">
        <v>29</v>
      </c>
      <c r="G57" s="86" t="s">
        <v>14</v>
      </c>
      <c r="H57" s="86" t="s">
        <v>243</v>
      </c>
      <c r="I57" s="86">
        <v>5</v>
      </c>
      <c r="J57" s="86">
        <f t="shared" si="0"/>
        <v>0.69530999999999998</v>
      </c>
      <c r="K57" s="86" t="s">
        <v>31</v>
      </c>
      <c r="L57" s="86" t="s">
        <v>31</v>
      </c>
      <c r="M57" s="86">
        <f>J57*(0.95)</f>
        <v>0.66054449999999998</v>
      </c>
      <c r="N57" s="86">
        <f t="shared" si="2"/>
        <v>0.73007549999999999</v>
      </c>
      <c r="O57" s="86" t="s">
        <v>391</v>
      </c>
    </row>
    <row r="58" spans="1:19">
      <c r="A58" s="86" t="s">
        <v>220</v>
      </c>
      <c r="B58" s="86">
        <f>-10.7*(B56+B55)</f>
        <v>9.6620999999999988</v>
      </c>
      <c r="D58" s="86" t="s">
        <v>170</v>
      </c>
      <c r="E58" s="93" t="s">
        <v>40</v>
      </c>
      <c r="F58" s="86" t="s">
        <v>29</v>
      </c>
      <c r="G58" s="86" t="s">
        <v>58</v>
      </c>
      <c r="H58" s="86" t="s">
        <v>243</v>
      </c>
      <c r="I58" s="86">
        <v>5</v>
      </c>
      <c r="J58" s="86">
        <f t="shared" si="0"/>
        <v>9.6620999999999988</v>
      </c>
      <c r="K58" s="86" t="s">
        <v>31</v>
      </c>
      <c r="L58" s="86" t="s">
        <v>31</v>
      </c>
      <c r="M58" s="86">
        <f t="shared" si="1"/>
        <v>9.1789949999999987</v>
      </c>
      <c r="N58" s="86">
        <f t="shared" si="2"/>
        <v>10.145204999999999</v>
      </c>
      <c r="O58" s="86" t="s">
        <v>392</v>
      </c>
    </row>
    <row r="59" spans="1:19" s="91" customFormat="1" ht="15.75">
      <c r="A59" s="89" t="s">
        <v>5</v>
      </c>
      <c r="B59" s="89" t="s">
        <v>393</v>
      </c>
      <c r="C59" s="89"/>
      <c r="D59" s="90" t="s">
        <v>361</v>
      </c>
      <c r="P59" s="86"/>
      <c r="Q59" s="86"/>
      <c r="S59" s="86"/>
    </row>
    <row r="60" spans="1:19">
      <c r="A60" s="86" t="s">
        <v>7</v>
      </c>
      <c r="B60" s="86" t="s">
        <v>292</v>
      </c>
    </row>
    <row r="61" spans="1:19">
      <c r="A61" s="86" t="s">
        <v>9</v>
      </c>
      <c r="B61" s="86" t="s">
        <v>394</v>
      </c>
    </row>
    <row r="62" spans="1:19">
      <c r="A62" s="86" t="s">
        <v>11</v>
      </c>
      <c r="B62" s="86" t="s">
        <v>368</v>
      </c>
    </row>
    <row r="63" spans="1:19">
      <c r="A63" s="86" t="s">
        <v>13</v>
      </c>
      <c r="B63" s="86" t="s">
        <v>35</v>
      </c>
    </row>
    <row r="64" spans="1:19">
      <c r="A64" s="86" t="s">
        <v>15</v>
      </c>
      <c r="B64" s="86">
        <v>1</v>
      </c>
    </row>
    <row r="65" spans="1:19">
      <c r="A65" s="86" t="s">
        <v>16</v>
      </c>
      <c r="B65" s="86" t="s">
        <v>17</v>
      </c>
    </row>
    <row r="66" spans="1:19">
      <c r="A66" s="86" t="s">
        <v>18</v>
      </c>
      <c r="B66" s="86" t="s">
        <v>18</v>
      </c>
      <c r="E66" s="86" t="s">
        <v>197</v>
      </c>
    </row>
    <row r="67" spans="1:19" ht="15.75">
      <c r="A67" s="88" t="s">
        <v>19</v>
      </c>
    </row>
    <row r="68" spans="1:19" ht="15.75">
      <c r="A68" s="88" t="s">
        <v>20</v>
      </c>
      <c r="B68" s="88" t="s">
        <v>21</v>
      </c>
      <c r="C68" s="88" t="s">
        <v>198</v>
      </c>
      <c r="D68" s="88" t="s">
        <v>18</v>
      </c>
      <c r="E68" s="88" t="s">
        <v>22</v>
      </c>
      <c r="F68" s="88" t="s">
        <v>7</v>
      </c>
      <c r="G68" s="88" t="s">
        <v>13</v>
      </c>
      <c r="H68" s="88" t="s">
        <v>16</v>
      </c>
      <c r="I68" s="88" t="s">
        <v>23</v>
      </c>
      <c r="J68" s="88" t="s">
        <v>24</v>
      </c>
      <c r="K68" s="88" t="s">
        <v>25</v>
      </c>
      <c r="L68" s="88" t="s">
        <v>26</v>
      </c>
      <c r="M68" s="88" t="s">
        <v>27</v>
      </c>
      <c r="N68" s="88" t="s">
        <v>28</v>
      </c>
      <c r="O68" s="88" t="s">
        <v>11</v>
      </c>
    </row>
    <row r="69" spans="1:19" ht="15.75">
      <c r="A69" s="92" t="s">
        <v>393</v>
      </c>
      <c r="B69" s="92">
        <v>1</v>
      </c>
      <c r="C69" s="92"/>
      <c r="D69" s="92" t="s">
        <v>18</v>
      </c>
      <c r="E69" s="92" t="s">
        <v>2</v>
      </c>
      <c r="F69" s="86" t="s">
        <v>292</v>
      </c>
      <c r="G69" s="86" t="s">
        <v>35</v>
      </c>
      <c r="H69" s="92" t="s">
        <v>30</v>
      </c>
      <c r="I69" s="92">
        <v>0</v>
      </c>
      <c r="J69" s="92" t="s">
        <v>31</v>
      </c>
      <c r="K69" s="92" t="s">
        <v>31</v>
      </c>
      <c r="L69" s="92" t="s">
        <v>31</v>
      </c>
      <c r="M69" s="92" t="s">
        <v>31</v>
      </c>
      <c r="N69" s="92" t="s">
        <v>31</v>
      </c>
      <c r="O69" s="92" t="s">
        <v>395</v>
      </c>
    </row>
    <row r="70" spans="1:19" ht="15.75">
      <c r="A70" s="285" t="s">
        <v>396</v>
      </c>
      <c r="B70" s="285">
        <v>50.54</v>
      </c>
      <c r="C70" s="285"/>
      <c r="D70" s="285" t="s">
        <v>37</v>
      </c>
      <c r="E70" s="285" t="s">
        <v>40</v>
      </c>
      <c r="F70" s="285" t="s">
        <v>29</v>
      </c>
      <c r="G70" s="285" t="s">
        <v>58</v>
      </c>
      <c r="H70" s="292" t="s">
        <v>33</v>
      </c>
      <c r="I70" s="92">
        <v>5</v>
      </c>
      <c r="J70" s="86">
        <f>B70</f>
        <v>50.54</v>
      </c>
      <c r="K70" s="86" t="s">
        <v>31</v>
      </c>
      <c r="L70" s="86" t="s">
        <v>31</v>
      </c>
      <c r="M70" s="86">
        <f>J70*(0.95)</f>
        <v>48.012999999999998</v>
      </c>
      <c r="N70" s="86">
        <f t="shared" ref="N70" si="5">J70*1.05</f>
        <v>53.067</v>
      </c>
      <c r="O70" s="92" t="s">
        <v>397</v>
      </c>
    </row>
    <row r="71" spans="1:19" ht="15.75">
      <c r="A71" s="86" t="s">
        <v>348</v>
      </c>
      <c r="B71" s="285">
        <v>0.435</v>
      </c>
      <c r="D71" s="86" t="s">
        <v>37</v>
      </c>
      <c r="E71" s="86" t="s">
        <v>40</v>
      </c>
      <c r="F71" s="86" t="s">
        <v>29</v>
      </c>
      <c r="G71" s="86" t="s">
        <v>58</v>
      </c>
      <c r="H71" s="292" t="s">
        <v>33</v>
      </c>
      <c r="I71" s="92">
        <v>5</v>
      </c>
      <c r="J71" s="86">
        <f>B71</f>
        <v>0.435</v>
      </c>
      <c r="K71" s="86" t="s">
        <v>31</v>
      </c>
      <c r="L71" s="86" t="s">
        <v>31</v>
      </c>
      <c r="M71" s="86">
        <f>J71*(0.98)</f>
        <v>0.42630000000000001</v>
      </c>
      <c r="N71" s="86">
        <f>J71*1.02</f>
        <v>0.44369999999999998</v>
      </c>
      <c r="O71" s="92" t="s">
        <v>398</v>
      </c>
    </row>
    <row r="72" spans="1:19" ht="15.75">
      <c r="A72" s="285" t="s">
        <v>331</v>
      </c>
      <c r="B72" s="86">
        <v>0.46800000000000003</v>
      </c>
      <c r="C72" s="285"/>
      <c r="D72" s="285" t="s">
        <v>37</v>
      </c>
      <c r="E72" s="285" t="s">
        <v>40</v>
      </c>
      <c r="F72" s="285" t="s">
        <v>29</v>
      </c>
      <c r="G72" s="285" t="s">
        <v>58</v>
      </c>
      <c r="H72" s="292" t="s">
        <v>33</v>
      </c>
      <c r="I72" s="92">
        <v>5</v>
      </c>
      <c r="J72" s="86">
        <f>B72</f>
        <v>0.46800000000000003</v>
      </c>
      <c r="K72" s="86" t="s">
        <v>31</v>
      </c>
      <c r="L72" s="86" t="s">
        <v>31</v>
      </c>
      <c r="M72" s="86">
        <f>J72*(0.98)</f>
        <v>0.45863999999999999</v>
      </c>
      <c r="N72" s="86">
        <f>J72*1.02</f>
        <v>0.47736000000000006</v>
      </c>
      <c r="O72" s="92" t="s">
        <v>399</v>
      </c>
    </row>
    <row r="73" spans="1:19" ht="15.75">
      <c r="A73" s="289" t="s">
        <v>75</v>
      </c>
      <c r="B73" s="289">
        <v>7.08</v>
      </c>
      <c r="C73" s="289"/>
      <c r="D73" s="289" t="s">
        <v>39</v>
      </c>
      <c r="E73" s="289" t="s">
        <v>40</v>
      </c>
      <c r="F73" s="289" t="s">
        <v>29</v>
      </c>
      <c r="G73" s="289" t="s">
        <v>14</v>
      </c>
      <c r="H73" s="292" t="s">
        <v>33</v>
      </c>
      <c r="I73" s="92">
        <v>5</v>
      </c>
      <c r="J73" s="86">
        <f>B73</f>
        <v>7.08</v>
      </c>
      <c r="K73" s="86" t="s">
        <v>31</v>
      </c>
      <c r="L73" s="86" t="s">
        <v>31</v>
      </c>
      <c r="M73" s="86">
        <f>J73*(0.95)</f>
        <v>6.726</v>
      </c>
      <c r="N73" s="86">
        <f t="shared" ref="N73" si="6">J73*1.05</f>
        <v>7.4340000000000002</v>
      </c>
      <c r="O73" s="92" t="s">
        <v>400</v>
      </c>
    </row>
    <row r="74" spans="1:19">
      <c r="A74" s="93" t="s">
        <v>75</v>
      </c>
      <c r="B74" s="86">
        <v>0.26600000000000001</v>
      </c>
      <c r="D74" s="86" t="s">
        <v>39</v>
      </c>
      <c r="E74" s="93" t="s">
        <v>40</v>
      </c>
      <c r="F74" s="86" t="s">
        <v>29</v>
      </c>
      <c r="G74" s="86" t="s">
        <v>14</v>
      </c>
      <c r="H74" s="86" t="s">
        <v>33</v>
      </c>
      <c r="I74" s="86">
        <v>5</v>
      </c>
      <c r="J74" s="86">
        <f>B74</f>
        <v>0.26600000000000001</v>
      </c>
      <c r="K74" s="86" t="s">
        <v>31</v>
      </c>
      <c r="L74" s="86" t="s">
        <v>31</v>
      </c>
      <c r="M74" s="86">
        <f>J74*(0.97)</f>
        <v>0.25802000000000003</v>
      </c>
      <c r="N74" s="86">
        <f>J74*1.03</f>
        <v>0.27398</v>
      </c>
      <c r="O74" s="86" t="s">
        <v>401</v>
      </c>
    </row>
    <row r="75" spans="1:19">
      <c r="A75" s="93" t="s">
        <v>366</v>
      </c>
      <c r="B75" s="86">
        <v>1</v>
      </c>
      <c r="D75" s="86" t="s">
        <v>18</v>
      </c>
      <c r="E75" s="93" t="s">
        <v>2</v>
      </c>
      <c r="F75" s="86" t="s">
        <v>292</v>
      </c>
      <c r="G75" s="86" t="s">
        <v>35</v>
      </c>
      <c r="H75" s="86" t="s">
        <v>33</v>
      </c>
      <c r="I75" s="86">
        <v>1</v>
      </c>
      <c r="J75" s="86" t="s">
        <v>31</v>
      </c>
      <c r="K75" s="86" t="s">
        <v>31</v>
      </c>
      <c r="L75" s="86" t="s">
        <v>31</v>
      </c>
      <c r="M75" s="86" t="s">
        <v>31</v>
      </c>
      <c r="N75" s="86" t="s">
        <v>31</v>
      </c>
    </row>
    <row r="76" spans="1:19">
      <c r="A76" s="93" t="s">
        <v>371</v>
      </c>
      <c r="B76" s="86">
        <v>1</v>
      </c>
      <c r="D76" s="86" t="s">
        <v>18</v>
      </c>
      <c r="E76" s="93" t="s">
        <v>2</v>
      </c>
      <c r="F76" s="86" t="s">
        <v>292</v>
      </c>
      <c r="G76" s="86" t="s">
        <v>35</v>
      </c>
      <c r="H76" s="86" t="s">
        <v>33</v>
      </c>
      <c r="I76" s="86">
        <v>1</v>
      </c>
      <c r="J76" s="86" t="s">
        <v>31</v>
      </c>
      <c r="K76" s="86" t="s">
        <v>31</v>
      </c>
      <c r="L76" s="86" t="s">
        <v>31</v>
      </c>
      <c r="M76" s="86" t="s">
        <v>31</v>
      </c>
      <c r="N76" s="86" t="s">
        <v>31</v>
      </c>
    </row>
    <row r="77" spans="1:19">
      <c r="A77" s="289" t="s">
        <v>374</v>
      </c>
      <c r="B77" s="86">
        <v>1</v>
      </c>
      <c r="D77" s="289" t="s">
        <v>18</v>
      </c>
      <c r="E77" s="289" t="s">
        <v>2</v>
      </c>
      <c r="F77" s="86" t="s">
        <v>292</v>
      </c>
      <c r="G77" s="289" t="s">
        <v>58</v>
      </c>
      <c r="H77" s="86" t="s">
        <v>33</v>
      </c>
      <c r="I77" s="86">
        <v>1</v>
      </c>
      <c r="J77" s="86" t="s">
        <v>31</v>
      </c>
      <c r="K77" s="86" t="s">
        <v>31</v>
      </c>
      <c r="L77" s="86" t="s">
        <v>31</v>
      </c>
      <c r="M77" s="86" t="s">
        <v>31</v>
      </c>
      <c r="N77" s="86" t="s">
        <v>31</v>
      </c>
    </row>
    <row r="78" spans="1:19">
      <c r="A78" s="289" t="s">
        <v>382</v>
      </c>
      <c r="B78" s="86">
        <v>1</v>
      </c>
      <c r="D78" s="289" t="s">
        <v>18</v>
      </c>
      <c r="E78" s="289" t="s">
        <v>2</v>
      </c>
      <c r="F78" s="86" t="s">
        <v>292</v>
      </c>
      <c r="G78" s="289" t="s">
        <v>35</v>
      </c>
      <c r="H78" s="86" t="s">
        <v>33</v>
      </c>
      <c r="I78" s="86">
        <v>1</v>
      </c>
      <c r="J78" s="86" t="s">
        <v>31</v>
      </c>
      <c r="K78" s="86" t="s">
        <v>31</v>
      </c>
      <c r="L78" s="86" t="s">
        <v>31</v>
      </c>
      <c r="M78" s="86" t="s">
        <v>31</v>
      </c>
      <c r="N78" s="86" t="s">
        <v>31</v>
      </c>
    </row>
    <row r="79" spans="1:19" s="91" customFormat="1" ht="15.75">
      <c r="A79" s="89" t="s">
        <v>5</v>
      </c>
      <c r="B79" s="89" t="s">
        <v>402</v>
      </c>
      <c r="C79" s="89"/>
      <c r="D79" s="90"/>
      <c r="P79" s="86"/>
      <c r="Q79" s="86"/>
      <c r="S79" s="86"/>
    </row>
    <row r="80" spans="1:19">
      <c r="A80" s="86" t="s">
        <v>7</v>
      </c>
      <c r="B80" s="86" t="s">
        <v>292</v>
      </c>
    </row>
    <row r="81" spans="1:19">
      <c r="A81" s="86" t="s">
        <v>9</v>
      </c>
      <c r="B81" s="86" t="s">
        <v>403</v>
      </c>
    </row>
    <row r="82" spans="1:19" ht="15.75" customHeight="1">
      <c r="A82" s="86" t="s">
        <v>11</v>
      </c>
      <c r="B82" s="86" t="s">
        <v>368</v>
      </c>
    </row>
    <row r="83" spans="1:19">
      <c r="A83" s="86" t="s">
        <v>13</v>
      </c>
      <c r="B83" s="86" t="s">
        <v>35</v>
      </c>
    </row>
    <row r="84" spans="1:19">
      <c r="A84" s="86" t="s">
        <v>15</v>
      </c>
      <c r="B84" s="86">
        <v>1</v>
      </c>
    </row>
    <row r="85" spans="1:19">
      <c r="A85" s="86" t="s">
        <v>16</v>
      </c>
      <c r="B85" s="86" t="s">
        <v>17</v>
      </c>
    </row>
    <row r="86" spans="1:19">
      <c r="A86" s="86" t="s">
        <v>18</v>
      </c>
      <c r="B86" s="86" t="s">
        <v>18</v>
      </c>
      <c r="E86" s="86" t="s">
        <v>197</v>
      </c>
    </row>
    <row r="87" spans="1:19" ht="15.75">
      <c r="A87" s="88" t="s">
        <v>19</v>
      </c>
    </row>
    <row r="88" spans="1:19" ht="15.75">
      <c r="A88" s="88" t="s">
        <v>20</v>
      </c>
      <c r="B88" s="88" t="s">
        <v>21</v>
      </c>
      <c r="C88" s="88" t="s">
        <v>198</v>
      </c>
      <c r="D88" s="88" t="s">
        <v>18</v>
      </c>
      <c r="E88" s="88" t="s">
        <v>22</v>
      </c>
      <c r="F88" s="88" t="s">
        <v>7</v>
      </c>
      <c r="G88" s="88" t="s">
        <v>13</v>
      </c>
      <c r="H88" s="88" t="s">
        <v>16</v>
      </c>
      <c r="I88" s="88" t="s">
        <v>23</v>
      </c>
      <c r="J88" s="88" t="s">
        <v>24</v>
      </c>
      <c r="K88" s="88" t="s">
        <v>25</v>
      </c>
      <c r="L88" s="88" t="s">
        <v>26</v>
      </c>
      <c r="M88" s="88" t="s">
        <v>27</v>
      </c>
      <c r="N88" s="88" t="s">
        <v>28</v>
      </c>
      <c r="O88" s="88" t="s">
        <v>11</v>
      </c>
    </row>
    <row r="89" spans="1:19" ht="15.75">
      <c r="A89" s="86" t="s">
        <v>402</v>
      </c>
      <c r="B89" s="86">
        <v>1</v>
      </c>
      <c r="D89" s="86" t="s">
        <v>18</v>
      </c>
      <c r="E89" s="86" t="s">
        <v>2</v>
      </c>
      <c r="F89" s="86" t="s">
        <v>292</v>
      </c>
      <c r="G89" s="86" t="s">
        <v>35</v>
      </c>
      <c r="H89" s="86" t="s">
        <v>30</v>
      </c>
      <c r="I89" s="86">
        <v>0</v>
      </c>
      <c r="J89" s="92" t="s">
        <v>31</v>
      </c>
      <c r="K89" s="92" t="s">
        <v>31</v>
      </c>
      <c r="L89" s="92" t="s">
        <v>31</v>
      </c>
      <c r="M89" s="92" t="s">
        <v>31</v>
      </c>
      <c r="N89" s="92" t="s">
        <v>31</v>
      </c>
      <c r="O89" s="86" t="s">
        <v>404</v>
      </c>
    </row>
    <row r="90" spans="1:19" ht="15.75">
      <c r="A90" s="94" t="s">
        <v>405</v>
      </c>
      <c r="B90" s="86">
        <v>1565.72</v>
      </c>
      <c r="C90" s="94" t="s">
        <v>406</v>
      </c>
      <c r="D90" s="86" t="s">
        <v>37</v>
      </c>
      <c r="E90" s="289" t="s">
        <v>40</v>
      </c>
      <c r="F90" s="86" t="s">
        <v>29</v>
      </c>
      <c r="G90" s="86" t="s">
        <v>35</v>
      </c>
      <c r="H90" s="86" t="s">
        <v>33</v>
      </c>
      <c r="I90" s="86">
        <v>2</v>
      </c>
      <c r="J90" s="86">
        <f>LN(B90)</f>
        <v>7.3561010610750701</v>
      </c>
      <c r="K90" s="86">
        <v>0.22051077071199943</v>
      </c>
      <c r="L90" s="92" t="s">
        <v>31</v>
      </c>
      <c r="M90" s="92" t="s">
        <v>31</v>
      </c>
      <c r="N90" s="92" t="s">
        <v>31</v>
      </c>
    </row>
    <row r="91" spans="1:19">
      <c r="A91" s="289" t="s">
        <v>75</v>
      </c>
      <c r="B91" s="86">
        <v>130.82</v>
      </c>
      <c r="D91" s="289" t="s">
        <v>39</v>
      </c>
      <c r="E91" s="289" t="s">
        <v>40</v>
      </c>
      <c r="F91" s="86" t="s">
        <v>29</v>
      </c>
      <c r="G91" s="289" t="s">
        <v>14</v>
      </c>
      <c r="H91" s="86" t="s">
        <v>33</v>
      </c>
      <c r="I91" s="86">
        <v>2</v>
      </c>
      <c r="J91" s="86">
        <f>LN(B91)</f>
        <v>4.8738223325330665</v>
      </c>
      <c r="K91" s="86">
        <v>0.22051077071199943</v>
      </c>
      <c r="L91" s="86" t="s">
        <v>31</v>
      </c>
      <c r="M91" s="86" t="s">
        <v>31</v>
      </c>
      <c r="N91" s="86" t="s">
        <v>31</v>
      </c>
      <c r="O91" s="86" t="s">
        <v>407</v>
      </c>
    </row>
    <row r="92" spans="1:19" ht="15.75">
      <c r="A92" s="86" t="s">
        <v>79</v>
      </c>
      <c r="B92" s="86">
        <v>0</v>
      </c>
      <c r="D92" s="86" t="s">
        <v>37</v>
      </c>
      <c r="E92" s="289" t="s">
        <v>40</v>
      </c>
      <c r="F92" s="86" t="s">
        <v>29</v>
      </c>
      <c r="G92" s="289" t="s">
        <v>58</v>
      </c>
      <c r="H92" s="86" t="s">
        <v>33</v>
      </c>
      <c r="I92" s="86">
        <v>1</v>
      </c>
      <c r="J92" s="92" t="s">
        <v>31</v>
      </c>
      <c r="K92" s="92" t="s">
        <v>31</v>
      </c>
      <c r="L92" s="92" t="s">
        <v>31</v>
      </c>
      <c r="M92" s="92" t="s">
        <v>31</v>
      </c>
      <c r="N92" s="92" t="s">
        <v>31</v>
      </c>
      <c r="O92" s="86" t="s">
        <v>408</v>
      </c>
    </row>
    <row r="93" spans="1:19" ht="15.75">
      <c r="A93" s="289" t="s">
        <v>75</v>
      </c>
      <c r="B93" s="86">
        <v>0</v>
      </c>
      <c r="D93" s="289" t="s">
        <v>39</v>
      </c>
      <c r="E93" s="289" t="s">
        <v>40</v>
      </c>
      <c r="F93" s="86" t="s">
        <v>29</v>
      </c>
      <c r="G93" s="289" t="s">
        <v>14</v>
      </c>
      <c r="H93" s="86" t="s">
        <v>243</v>
      </c>
      <c r="I93" s="86">
        <v>1</v>
      </c>
      <c r="J93" s="92" t="s">
        <v>31</v>
      </c>
      <c r="K93" s="92" t="s">
        <v>31</v>
      </c>
      <c r="L93" s="92" t="s">
        <v>31</v>
      </c>
      <c r="M93" s="92" t="s">
        <v>31</v>
      </c>
      <c r="N93" s="92" t="s">
        <v>31</v>
      </c>
      <c r="O93" s="86" t="s">
        <v>409</v>
      </c>
    </row>
    <row r="94" spans="1:19">
      <c r="A94" s="86" t="s">
        <v>229</v>
      </c>
      <c r="B94" s="86">
        <v>1531.41</v>
      </c>
      <c r="D94" s="86" t="s">
        <v>37</v>
      </c>
      <c r="E94" s="289" t="s">
        <v>43</v>
      </c>
      <c r="F94" s="86" t="s">
        <v>44</v>
      </c>
      <c r="G94" s="289" t="s">
        <v>31</v>
      </c>
      <c r="H94" s="86" t="s">
        <v>45</v>
      </c>
      <c r="I94" s="86">
        <v>2</v>
      </c>
      <c r="J94" s="86">
        <f>LN(B94)</f>
        <v>7.3339441586302767</v>
      </c>
      <c r="K94" s="86">
        <v>0.22051077071199943</v>
      </c>
      <c r="L94" s="86" t="s">
        <v>31</v>
      </c>
      <c r="M94" s="86" t="s">
        <v>31</v>
      </c>
      <c r="N94" s="86" t="s">
        <v>31</v>
      </c>
      <c r="O94" s="86" t="s">
        <v>410</v>
      </c>
    </row>
    <row r="95" spans="1:19">
      <c r="A95" s="86" t="s">
        <v>411</v>
      </c>
      <c r="B95" s="86">
        <v>778.46</v>
      </c>
      <c r="D95" s="86" t="s">
        <v>37</v>
      </c>
      <c r="E95" s="289" t="s">
        <v>43</v>
      </c>
      <c r="F95" s="86" t="s">
        <v>44</v>
      </c>
      <c r="G95" s="289" t="s">
        <v>31</v>
      </c>
      <c r="H95" s="86" t="s">
        <v>45</v>
      </c>
      <c r="I95" s="86">
        <v>2</v>
      </c>
      <c r="J95" s="86">
        <f>LN(B95)</f>
        <v>6.6573176090933819</v>
      </c>
      <c r="K95" s="86">
        <v>0.22051077071199943</v>
      </c>
      <c r="L95" s="86" t="s">
        <v>31</v>
      </c>
      <c r="M95" s="86" t="s">
        <v>31</v>
      </c>
      <c r="N95" s="86" t="s">
        <v>31</v>
      </c>
      <c r="O95" s="86" t="s">
        <v>410</v>
      </c>
    </row>
    <row r="96" spans="1:19" s="91" customFormat="1" ht="15.75">
      <c r="A96" s="89" t="s">
        <v>5</v>
      </c>
      <c r="B96" s="89" t="s">
        <v>412</v>
      </c>
      <c r="C96" s="89"/>
      <c r="D96" s="90"/>
      <c r="P96" s="86"/>
      <c r="Q96" s="86"/>
      <c r="S96" s="86"/>
    </row>
    <row r="97" spans="1:19">
      <c r="A97" s="86" t="s">
        <v>7</v>
      </c>
      <c r="B97" s="86" t="s">
        <v>292</v>
      </c>
    </row>
    <row r="98" spans="1:19">
      <c r="A98" s="86" t="s">
        <v>9</v>
      </c>
      <c r="B98" s="86" t="s">
        <v>413</v>
      </c>
    </row>
    <row r="99" spans="1:19" ht="15.75" customHeight="1">
      <c r="A99" s="86" t="s">
        <v>11</v>
      </c>
      <c r="B99" s="86" t="s">
        <v>368</v>
      </c>
    </row>
    <row r="100" spans="1:19">
      <c r="A100" s="86" t="s">
        <v>13</v>
      </c>
      <c r="B100" s="86" t="s">
        <v>35</v>
      </c>
    </row>
    <row r="101" spans="1:19">
      <c r="A101" s="86" t="s">
        <v>15</v>
      </c>
      <c r="B101" s="86">
        <v>1</v>
      </c>
    </row>
    <row r="102" spans="1:19">
      <c r="A102" s="86" t="s">
        <v>16</v>
      </c>
      <c r="B102" s="86" t="s">
        <v>17</v>
      </c>
    </row>
    <row r="103" spans="1:19">
      <c r="A103" s="86" t="s">
        <v>18</v>
      </c>
      <c r="B103" s="86" t="s">
        <v>18</v>
      </c>
      <c r="E103" s="86" t="s">
        <v>197</v>
      </c>
    </row>
    <row r="104" spans="1:19" ht="15.75">
      <c r="A104" s="88" t="s">
        <v>19</v>
      </c>
    </row>
    <row r="105" spans="1:19" ht="15.75">
      <c r="A105" s="88" t="s">
        <v>20</v>
      </c>
      <c r="B105" s="88" t="s">
        <v>21</v>
      </c>
      <c r="C105" s="88" t="s">
        <v>198</v>
      </c>
      <c r="D105" s="88" t="s">
        <v>18</v>
      </c>
      <c r="E105" s="88" t="s">
        <v>22</v>
      </c>
      <c r="F105" s="88" t="s">
        <v>7</v>
      </c>
      <c r="G105" s="88" t="s">
        <v>13</v>
      </c>
      <c r="H105" s="88" t="s">
        <v>16</v>
      </c>
      <c r="I105" s="88" t="s">
        <v>23</v>
      </c>
      <c r="J105" s="88" t="s">
        <v>24</v>
      </c>
      <c r="K105" s="88" t="s">
        <v>25</v>
      </c>
      <c r="L105" s="88" t="s">
        <v>26</v>
      </c>
      <c r="M105" s="88" t="s">
        <v>27</v>
      </c>
      <c r="N105" s="88" t="s">
        <v>28</v>
      </c>
      <c r="O105" s="88" t="s">
        <v>11</v>
      </c>
    </row>
    <row r="106" spans="1:19" ht="15.75">
      <c r="A106" s="92" t="s">
        <v>412</v>
      </c>
      <c r="B106" s="92">
        <v>1</v>
      </c>
      <c r="C106" s="92"/>
      <c r="D106" s="92" t="s">
        <v>18</v>
      </c>
      <c r="E106" s="86" t="s">
        <v>2</v>
      </c>
      <c r="F106" s="86" t="s">
        <v>292</v>
      </c>
      <c r="G106" s="86" t="s">
        <v>35</v>
      </c>
      <c r="H106" s="86" t="s">
        <v>30</v>
      </c>
      <c r="I106" s="86">
        <v>0</v>
      </c>
      <c r="J106" s="92" t="s">
        <v>31</v>
      </c>
      <c r="K106" s="92" t="s">
        <v>31</v>
      </c>
      <c r="L106" s="92" t="s">
        <v>31</v>
      </c>
      <c r="M106" s="92" t="s">
        <v>31</v>
      </c>
      <c r="N106" s="92" t="s">
        <v>31</v>
      </c>
      <c r="O106" s="86" t="s">
        <v>414</v>
      </c>
    </row>
    <row r="107" spans="1:19" ht="15.75">
      <c r="A107" s="293" t="s">
        <v>75</v>
      </c>
      <c r="B107" s="86">
        <v>1.3</v>
      </c>
      <c r="D107" s="293" t="s">
        <v>39</v>
      </c>
      <c r="E107" s="293" t="s">
        <v>40</v>
      </c>
      <c r="F107" s="86" t="s">
        <v>29</v>
      </c>
      <c r="G107" s="293" t="s">
        <v>14</v>
      </c>
      <c r="H107" s="86" t="s">
        <v>33</v>
      </c>
      <c r="I107" s="92">
        <v>5</v>
      </c>
      <c r="J107" s="86">
        <f>B107</f>
        <v>1.3</v>
      </c>
      <c r="K107" s="86" t="s">
        <v>31</v>
      </c>
      <c r="L107" s="86" t="s">
        <v>31</v>
      </c>
      <c r="M107" s="86">
        <f>J107*(0.97)</f>
        <v>1.2609999999999999</v>
      </c>
      <c r="N107" s="86">
        <f>J107*1.03</f>
        <v>1.3390000000000002</v>
      </c>
      <c r="O107" s="86" t="s">
        <v>401</v>
      </c>
    </row>
    <row r="108" spans="1:19" ht="15.75">
      <c r="A108" s="289" t="s">
        <v>75</v>
      </c>
      <c r="B108" s="86">
        <v>70.686000000000007</v>
      </c>
      <c r="D108" s="289" t="s">
        <v>39</v>
      </c>
      <c r="E108" s="289" t="s">
        <v>40</v>
      </c>
      <c r="F108" s="86" t="s">
        <v>29</v>
      </c>
      <c r="G108" s="289" t="s">
        <v>14</v>
      </c>
      <c r="H108" s="86" t="s">
        <v>33</v>
      </c>
      <c r="I108" s="92">
        <v>5</v>
      </c>
      <c r="J108" s="86">
        <f>B108</f>
        <v>70.686000000000007</v>
      </c>
      <c r="K108" s="86" t="s">
        <v>31</v>
      </c>
      <c r="L108" s="86" t="s">
        <v>31</v>
      </c>
      <c r="M108" s="86">
        <f>J108*(0.95)</f>
        <v>67.151700000000005</v>
      </c>
      <c r="N108" s="86">
        <f t="shared" ref="N108" si="7">J108*1.05</f>
        <v>74.220300000000009</v>
      </c>
      <c r="O108" s="86" t="s">
        <v>415</v>
      </c>
    </row>
    <row r="109" spans="1:19">
      <c r="A109" s="86" t="s">
        <v>41</v>
      </c>
      <c r="B109" s="86">
        <v>0</v>
      </c>
      <c r="D109" s="86" t="s">
        <v>42</v>
      </c>
      <c r="E109" s="289" t="s">
        <v>43</v>
      </c>
      <c r="F109" s="86" t="s">
        <v>44</v>
      </c>
      <c r="G109" s="289" t="s">
        <v>31</v>
      </c>
      <c r="H109" s="86" t="s">
        <v>45</v>
      </c>
      <c r="I109" s="86">
        <v>1</v>
      </c>
      <c r="J109" s="86" t="s">
        <v>31</v>
      </c>
      <c r="K109" s="86" t="s">
        <v>31</v>
      </c>
      <c r="L109" s="86" t="s">
        <v>31</v>
      </c>
      <c r="M109" s="86" t="s">
        <v>31</v>
      </c>
      <c r="N109" s="86" t="s">
        <v>31</v>
      </c>
      <c r="O109" s="86" t="s">
        <v>416</v>
      </c>
    </row>
    <row r="110" spans="1:19" s="91" customFormat="1" ht="15.75">
      <c r="A110" s="89" t="s">
        <v>5</v>
      </c>
      <c r="B110" s="294" t="s">
        <v>417</v>
      </c>
      <c r="C110" s="89"/>
      <c r="D110" s="90"/>
      <c r="P110" s="86"/>
      <c r="Q110" s="86"/>
      <c r="S110" s="86"/>
    </row>
    <row r="111" spans="1:19">
      <c r="A111" s="86" t="s">
        <v>7</v>
      </c>
      <c r="B111" s="86" t="s">
        <v>292</v>
      </c>
    </row>
    <row r="112" spans="1:19">
      <c r="A112" s="86" t="s">
        <v>9</v>
      </c>
      <c r="B112" s="86" t="s">
        <v>418</v>
      </c>
    </row>
    <row r="113" spans="1:19" ht="15.75" customHeight="1">
      <c r="A113" s="86" t="s">
        <v>11</v>
      </c>
      <c r="B113" s="86" t="s">
        <v>368</v>
      </c>
    </row>
    <row r="114" spans="1:19">
      <c r="A114" s="86" t="s">
        <v>13</v>
      </c>
      <c r="B114" s="86" t="s">
        <v>58</v>
      </c>
    </row>
    <row r="115" spans="1:19">
      <c r="A115" s="86" t="s">
        <v>15</v>
      </c>
      <c r="B115" s="86">
        <v>1</v>
      </c>
    </row>
    <row r="116" spans="1:19">
      <c r="A116" s="86" t="s">
        <v>16</v>
      </c>
      <c r="B116" s="86" t="s">
        <v>17</v>
      </c>
    </row>
    <row r="117" spans="1:19">
      <c r="A117" s="86" t="s">
        <v>18</v>
      </c>
      <c r="B117" s="86" t="s">
        <v>18</v>
      </c>
      <c r="E117" s="86" t="s">
        <v>197</v>
      </c>
    </row>
    <row r="118" spans="1:19" ht="15.75">
      <c r="A118" s="88" t="s">
        <v>19</v>
      </c>
    </row>
    <row r="119" spans="1:19" ht="15.75">
      <c r="A119" s="88" t="s">
        <v>20</v>
      </c>
      <c r="B119" s="88" t="s">
        <v>21</v>
      </c>
      <c r="C119" s="88" t="s">
        <v>198</v>
      </c>
      <c r="D119" s="88" t="s">
        <v>18</v>
      </c>
      <c r="E119" s="88" t="s">
        <v>22</v>
      </c>
      <c r="F119" s="88" t="s">
        <v>7</v>
      </c>
      <c r="G119" s="88" t="s">
        <v>13</v>
      </c>
      <c r="H119" s="88" t="s">
        <v>16</v>
      </c>
      <c r="I119" s="88" t="s">
        <v>23</v>
      </c>
      <c r="J119" s="88" t="s">
        <v>24</v>
      </c>
      <c r="K119" s="88" t="s">
        <v>25</v>
      </c>
      <c r="L119" s="88" t="s">
        <v>26</v>
      </c>
      <c r="M119" s="88" t="s">
        <v>27</v>
      </c>
      <c r="N119" s="88" t="s">
        <v>28</v>
      </c>
      <c r="O119" s="88" t="s">
        <v>11</v>
      </c>
    </row>
    <row r="120" spans="1:19" ht="15.75">
      <c r="A120" s="92" t="s">
        <v>417</v>
      </c>
      <c r="B120" s="92">
        <v>1</v>
      </c>
      <c r="C120" s="92"/>
      <c r="D120" s="92" t="s">
        <v>18</v>
      </c>
      <c r="E120" s="86" t="s">
        <v>2</v>
      </c>
      <c r="F120" s="86" t="s">
        <v>292</v>
      </c>
      <c r="G120" s="92" t="s">
        <v>58</v>
      </c>
      <c r="H120" s="86" t="s">
        <v>30</v>
      </c>
      <c r="I120" s="86">
        <v>0</v>
      </c>
      <c r="J120" s="92" t="s">
        <v>31</v>
      </c>
      <c r="K120" s="92" t="s">
        <v>31</v>
      </c>
      <c r="L120" s="92" t="s">
        <v>31</v>
      </c>
      <c r="M120" s="92" t="s">
        <v>31</v>
      </c>
      <c r="N120" s="92" t="s">
        <v>31</v>
      </c>
      <c r="O120" s="86" t="s">
        <v>419</v>
      </c>
    </row>
    <row r="121" spans="1:19" ht="15.75">
      <c r="A121" s="92" t="s">
        <v>420</v>
      </c>
      <c r="B121" s="92">
        <f>-1465.44*(6.75*0.198/(6.75*0.198+0.34*26.517))</f>
        <v>-189.1912274397524</v>
      </c>
      <c r="C121" s="278" t="s">
        <v>421</v>
      </c>
      <c r="D121" s="86" t="s">
        <v>37</v>
      </c>
      <c r="E121" s="289" t="s">
        <v>40</v>
      </c>
      <c r="F121" s="86" t="s">
        <v>29</v>
      </c>
      <c r="G121" s="92" t="s">
        <v>58</v>
      </c>
      <c r="H121" s="86" t="s">
        <v>33</v>
      </c>
      <c r="I121" s="86">
        <v>5</v>
      </c>
      <c r="J121" s="86">
        <f>B121</f>
        <v>-189.1912274397524</v>
      </c>
      <c r="K121" s="86" t="s">
        <v>31</v>
      </c>
      <c r="L121" s="86" t="s">
        <v>31</v>
      </c>
      <c r="M121" s="86">
        <f>J121*1.05</f>
        <v>-198.65078881174003</v>
      </c>
      <c r="N121" s="86">
        <f>J121*0.95</f>
        <v>-179.73166606776476</v>
      </c>
      <c r="O121" s="86" t="s">
        <v>422</v>
      </c>
    </row>
    <row r="122" spans="1:19">
      <c r="A122" t="s">
        <v>312</v>
      </c>
      <c r="B122" s="86">
        <f>0.9*249.12</f>
        <v>224.208</v>
      </c>
      <c r="D122" s="86" t="s">
        <v>37</v>
      </c>
      <c r="E122" s="289" t="s">
        <v>40</v>
      </c>
      <c r="F122" s="86" t="s">
        <v>29</v>
      </c>
      <c r="G122" s="289" t="s">
        <v>58</v>
      </c>
      <c r="H122" s="86" t="s">
        <v>243</v>
      </c>
      <c r="I122" s="86">
        <v>5</v>
      </c>
      <c r="J122" s="86">
        <f>B122</f>
        <v>224.208</v>
      </c>
      <c r="K122" s="86" t="s">
        <v>31</v>
      </c>
      <c r="L122" s="86" t="s">
        <v>31</v>
      </c>
      <c r="M122" s="86">
        <f>J122*(0.95)</f>
        <v>212.99759999999998</v>
      </c>
      <c r="N122" s="86">
        <f>J122*1.05</f>
        <v>235.41840000000002</v>
      </c>
      <c r="O122" s="86" t="s">
        <v>423</v>
      </c>
    </row>
    <row r="123" spans="1:19" ht="30">
      <c r="A123" s="295" t="s">
        <v>424</v>
      </c>
      <c r="B123" s="86">
        <v>1027.4000000000001</v>
      </c>
      <c r="C123" s="278" t="s">
        <v>425</v>
      </c>
      <c r="D123" s="86" t="s">
        <v>37</v>
      </c>
      <c r="E123" s="289" t="s">
        <v>40</v>
      </c>
      <c r="F123" s="86" t="s">
        <v>29</v>
      </c>
      <c r="G123" s="289" t="s">
        <v>128</v>
      </c>
      <c r="H123" s="86" t="s">
        <v>33</v>
      </c>
      <c r="I123" s="92">
        <v>5</v>
      </c>
      <c r="J123" s="86">
        <f>B123</f>
        <v>1027.4000000000001</v>
      </c>
      <c r="K123" s="86" t="s">
        <v>31</v>
      </c>
      <c r="L123" s="86" t="s">
        <v>31</v>
      </c>
      <c r="M123" s="86">
        <f>J123*(0.95)</f>
        <v>976.03000000000009</v>
      </c>
      <c r="N123" s="86">
        <f>J123*1.05</f>
        <v>1078.7700000000002</v>
      </c>
      <c r="O123" s="86" t="s">
        <v>426</v>
      </c>
    </row>
    <row r="124" spans="1:19">
      <c r="A124" s="289" t="s">
        <v>329</v>
      </c>
      <c r="B124" s="86">
        <f>308.22*0.5</f>
        <v>154.11000000000001</v>
      </c>
      <c r="C124" s="278" t="s">
        <v>248</v>
      </c>
      <c r="D124" s="86" t="s">
        <v>37</v>
      </c>
      <c r="E124" s="289" t="s">
        <v>40</v>
      </c>
      <c r="F124" s="86" t="s">
        <v>29</v>
      </c>
      <c r="G124" s="289" t="s">
        <v>58</v>
      </c>
      <c r="H124" s="86" t="s">
        <v>243</v>
      </c>
      <c r="I124" s="86">
        <v>5</v>
      </c>
      <c r="J124" s="86">
        <v>21.584</v>
      </c>
      <c r="K124" s="86" t="s">
        <v>31</v>
      </c>
      <c r="L124" s="86" t="s">
        <v>31</v>
      </c>
      <c r="M124" s="86">
        <v>20.504799999999999</v>
      </c>
      <c r="N124" s="86">
        <v>22.6632</v>
      </c>
      <c r="O124" s="86" t="s">
        <v>427</v>
      </c>
    </row>
    <row r="125" spans="1:19">
      <c r="A125" s="289" t="s">
        <v>342</v>
      </c>
      <c r="B125" s="296">
        <f>493.152*0.98</f>
        <v>483.28895999999997</v>
      </c>
      <c r="C125" s="278" t="s">
        <v>428</v>
      </c>
      <c r="D125" s="86" t="s">
        <v>37</v>
      </c>
      <c r="E125" s="289" t="s">
        <v>40</v>
      </c>
      <c r="F125" s="86" t="s">
        <v>29</v>
      </c>
      <c r="G125" s="289" t="s">
        <v>58</v>
      </c>
      <c r="H125" s="86" t="s">
        <v>243</v>
      </c>
      <c r="I125" s="86">
        <v>5</v>
      </c>
      <c r="J125" s="86">
        <v>250.81139999999999</v>
      </c>
      <c r="K125" s="86" t="s">
        <v>31</v>
      </c>
      <c r="L125" s="86" t="s">
        <v>31</v>
      </c>
      <c r="M125" s="86">
        <v>238.27082999999999</v>
      </c>
      <c r="N125" s="86">
        <v>263.35196999999999</v>
      </c>
      <c r="O125" s="86" t="s">
        <v>429</v>
      </c>
    </row>
    <row r="126" spans="1:19">
      <c r="A126" s="289" t="s">
        <v>430</v>
      </c>
      <c r="B126" s="296">
        <f>-(226.028+0.02*493.152+0.5*308.22)</f>
        <v>-390.00103999999999</v>
      </c>
      <c r="C126" s="278" t="s">
        <v>431</v>
      </c>
      <c r="D126" s="86" t="s">
        <v>37</v>
      </c>
      <c r="E126" s="289" t="s">
        <v>40</v>
      </c>
      <c r="F126" s="86" t="s">
        <v>29</v>
      </c>
      <c r="G126" s="289" t="s">
        <v>128</v>
      </c>
      <c r="H126" s="86" t="s">
        <v>33</v>
      </c>
      <c r="I126" s="86">
        <v>5</v>
      </c>
      <c r="J126" s="296">
        <v>-252.98399999999998</v>
      </c>
      <c r="K126" s="86" t="s">
        <v>31</v>
      </c>
      <c r="L126" s="86" t="s">
        <v>31</v>
      </c>
      <c r="M126" s="86">
        <v>-265.63319999999999</v>
      </c>
      <c r="N126" s="86">
        <v>-240.33479999999997</v>
      </c>
      <c r="O126" s="86" t="s">
        <v>432</v>
      </c>
    </row>
    <row r="127" spans="1:19" s="91" customFormat="1" ht="15.75">
      <c r="A127" s="89" t="s">
        <v>5</v>
      </c>
      <c r="B127" s="89" t="s">
        <v>433</v>
      </c>
      <c r="C127" s="89"/>
      <c r="D127" s="90"/>
      <c r="P127" s="86"/>
      <c r="Q127" s="86"/>
      <c r="S127" s="86"/>
    </row>
    <row r="128" spans="1:19">
      <c r="A128" s="86" t="s">
        <v>7</v>
      </c>
      <c r="B128" s="86" t="s">
        <v>292</v>
      </c>
    </row>
    <row r="129" spans="1:19">
      <c r="A129" s="86" t="s">
        <v>9</v>
      </c>
      <c r="B129" s="86" t="s">
        <v>434</v>
      </c>
    </row>
    <row r="130" spans="1:19" ht="15.75" customHeight="1">
      <c r="A130" s="86" t="s">
        <v>11</v>
      </c>
      <c r="B130" s="86" t="s">
        <v>368</v>
      </c>
    </row>
    <row r="131" spans="1:19">
      <c r="A131" s="86" t="s">
        <v>13</v>
      </c>
      <c r="B131" s="86" t="s">
        <v>58</v>
      </c>
    </row>
    <row r="132" spans="1:19">
      <c r="A132" s="86" t="s">
        <v>15</v>
      </c>
      <c r="B132" s="86">
        <v>1</v>
      </c>
    </row>
    <row r="133" spans="1:19">
      <c r="A133" s="86" t="s">
        <v>16</v>
      </c>
      <c r="B133" s="86" t="s">
        <v>17</v>
      </c>
    </row>
    <row r="134" spans="1:19">
      <c r="A134" s="86" t="s">
        <v>18</v>
      </c>
      <c r="B134" s="86" t="s">
        <v>18</v>
      </c>
      <c r="E134" s="86" t="s">
        <v>197</v>
      </c>
    </row>
    <row r="135" spans="1:19" ht="15.75">
      <c r="A135" s="88" t="s">
        <v>19</v>
      </c>
    </row>
    <row r="136" spans="1:19" ht="15.75">
      <c r="A136" s="88" t="s">
        <v>20</v>
      </c>
      <c r="B136" s="88" t="s">
        <v>21</v>
      </c>
      <c r="C136" s="88" t="s">
        <v>198</v>
      </c>
      <c r="D136" s="88" t="s">
        <v>18</v>
      </c>
      <c r="E136" s="88" t="s">
        <v>22</v>
      </c>
      <c r="F136" s="88" t="s">
        <v>7</v>
      </c>
      <c r="G136" s="88" t="s">
        <v>13</v>
      </c>
      <c r="H136" s="88" t="s">
        <v>16</v>
      </c>
      <c r="I136" s="88" t="s">
        <v>23</v>
      </c>
      <c r="J136" s="88" t="s">
        <v>24</v>
      </c>
      <c r="K136" s="88" t="s">
        <v>25</v>
      </c>
      <c r="L136" s="88" t="s">
        <v>26</v>
      </c>
      <c r="M136" s="88" t="s">
        <v>27</v>
      </c>
      <c r="N136" s="88" t="s">
        <v>28</v>
      </c>
      <c r="O136" s="88" t="s">
        <v>11</v>
      </c>
    </row>
    <row r="137" spans="1:19" ht="15.75">
      <c r="A137" s="92" t="s">
        <v>433</v>
      </c>
      <c r="B137" s="92">
        <v>1</v>
      </c>
      <c r="C137" s="92"/>
      <c r="D137" s="92" t="s">
        <v>18</v>
      </c>
      <c r="E137" s="86" t="s">
        <v>2</v>
      </c>
      <c r="F137" s="86" t="s">
        <v>292</v>
      </c>
      <c r="G137" s="92" t="s">
        <v>58</v>
      </c>
      <c r="H137" s="86" t="s">
        <v>30</v>
      </c>
      <c r="I137" s="86">
        <v>0</v>
      </c>
      <c r="J137" s="92" t="s">
        <v>31</v>
      </c>
      <c r="K137" s="92" t="s">
        <v>31</v>
      </c>
      <c r="L137" s="92" t="s">
        <v>31</v>
      </c>
      <c r="M137" s="92" t="s">
        <v>31</v>
      </c>
      <c r="N137" s="92" t="s">
        <v>31</v>
      </c>
      <c r="O137" s="86" t="s">
        <v>435</v>
      </c>
    </row>
    <row r="138" spans="1:19" ht="15.75">
      <c r="A138" s="92" t="s">
        <v>393</v>
      </c>
      <c r="B138" s="92">
        <v>1</v>
      </c>
      <c r="C138" s="92"/>
      <c r="D138" s="92" t="s">
        <v>18</v>
      </c>
      <c r="E138" s="92" t="s">
        <v>2</v>
      </c>
      <c r="F138" s="86" t="s">
        <v>292</v>
      </c>
      <c r="G138" s="92" t="s">
        <v>35</v>
      </c>
      <c r="H138" s="86" t="s">
        <v>33</v>
      </c>
      <c r="I138" s="86">
        <v>1</v>
      </c>
      <c r="J138" s="92" t="s">
        <v>31</v>
      </c>
      <c r="K138" s="92" t="s">
        <v>31</v>
      </c>
      <c r="L138" s="92" t="s">
        <v>31</v>
      </c>
      <c r="M138" s="92" t="s">
        <v>31</v>
      </c>
      <c r="N138" s="92" t="s">
        <v>31</v>
      </c>
      <c r="O138" s="86" t="s">
        <v>436</v>
      </c>
    </row>
    <row r="139" spans="1:19" ht="15.75">
      <c r="A139" s="86" t="s">
        <v>402</v>
      </c>
      <c r="B139" s="86">
        <v>1</v>
      </c>
      <c r="D139" s="86" t="s">
        <v>18</v>
      </c>
      <c r="E139" s="86" t="s">
        <v>2</v>
      </c>
      <c r="F139" s="86" t="s">
        <v>292</v>
      </c>
      <c r="G139" s="86" t="s">
        <v>35</v>
      </c>
      <c r="H139" s="86" t="s">
        <v>33</v>
      </c>
      <c r="I139" s="86">
        <v>1</v>
      </c>
      <c r="J139" s="92" t="s">
        <v>31</v>
      </c>
      <c r="K139" s="92" t="s">
        <v>31</v>
      </c>
      <c r="L139" s="92" t="s">
        <v>31</v>
      </c>
      <c r="M139" s="92" t="s">
        <v>31</v>
      </c>
      <c r="N139" s="92" t="s">
        <v>31</v>
      </c>
      <c r="O139" s="92"/>
    </row>
    <row r="140" spans="1:19" ht="15.75">
      <c r="A140" s="92" t="s">
        <v>412</v>
      </c>
      <c r="B140" s="92">
        <v>1</v>
      </c>
      <c r="C140" s="92"/>
      <c r="D140" s="92" t="s">
        <v>18</v>
      </c>
      <c r="E140" s="86" t="s">
        <v>2</v>
      </c>
      <c r="F140" s="86" t="s">
        <v>292</v>
      </c>
      <c r="G140" s="92" t="s">
        <v>35</v>
      </c>
      <c r="H140" s="86" t="s">
        <v>33</v>
      </c>
      <c r="I140" s="86">
        <v>1</v>
      </c>
      <c r="J140" s="92" t="s">
        <v>31</v>
      </c>
      <c r="K140" s="92" t="s">
        <v>31</v>
      </c>
      <c r="L140" s="92" t="s">
        <v>31</v>
      </c>
      <c r="M140" s="92" t="s">
        <v>31</v>
      </c>
      <c r="N140" s="92" t="s">
        <v>31</v>
      </c>
    </row>
    <row r="141" spans="1:19" s="292" customFormat="1" ht="15.75">
      <c r="A141" s="92" t="s">
        <v>417</v>
      </c>
      <c r="B141" s="92">
        <v>1</v>
      </c>
      <c r="C141" s="92"/>
      <c r="D141" s="92" t="s">
        <v>18</v>
      </c>
      <c r="E141" s="92" t="s">
        <v>2</v>
      </c>
      <c r="F141" s="92" t="s">
        <v>292</v>
      </c>
      <c r="G141" s="92" t="s">
        <v>58</v>
      </c>
      <c r="H141" s="86" t="s">
        <v>33</v>
      </c>
      <c r="I141" s="86">
        <v>1</v>
      </c>
      <c r="J141" s="92" t="s">
        <v>31</v>
      </c>
      <c r="K141" s="92" t="s">
        <v>31</v>
      </c>
      <c r="L141" s="92" t="s">
        <v>31</v>
      </c>
      <c r="M141" s="92" t="s">
        <v>31</v>
      </c>
      <c r="N141" s="92" t="s">
        <v>31</v>
      </c>
      <c r="O141" s="292" t="s">
        <v>437</v>
      </c>
      <c r="P141" s="86"/>
      <c r="Q141" s="86"/>
      <c r="S141" s="86"/>
    </row>
    <row r="142" spans="1:19" ht="15.75">
      <c r="B142" s="285"/>
      <c r="C142" s="285"/>
      <c r="D142" s="285"/>
      <c r="E142" s="285"/>
      <c r="F142" s="285"/>
      <c r="G142" s="285"/>
      <c r="H142" s="292"/>
      <c r="I142" s="297"/>
      <c r="J142" s="297"/>
      <c r="K142" s="297"/>
      <c r="L142" s="297"/>
      <c r="M142" s="292"/>
      <c r="N142" s="292"/>
    </row>
    <row r="143" spans="1:19">
      <c r="H143" s="292"/>
    </row>
    <row r="144" spans="1:19">
      <c r="B144" s="289"/>
      <c r="C144" s="289"/>
      <c r="D144" s="289"/>
      <c r="E144" s="289"/>
      <c r="F144" s="289"/>
      <c r="G144" s="289"/>
      <c r="H144" s="292"/>
    </row>
    <row r="145" spans="7:9">
      <c r="G145" s="298"/>
    </row>
    <row r="146" spans="7:9">
      <c r="G146" s="298"/>
    </row>
    <row r="147" spans="7:9">
      <c r="G147" s="299"/>
      <c r="H147" s="299"/>
      <c r="I147" s="299"/>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349A0-3890-4BD1-85DF-D39B5632E020}">
  <dimension ref="A1:AC549"/>
  <sheetViews>
    <sheetView topLeftCell="A43" zoomScale="85" zoomScaleNormal="85" workbookViewId="0">
      <selection activeCell="L53" sqref="L53"/>
    </sheetView>
  </sheetViews>
  <sheetFormatPr defaultRowHeight="15"/>
  <cols>
    <col min="1" max="1" width="62.42578125" customWidth="1"/>
    <col min="2" max="2" width="15.85546875" customWidth="1"/>
    <col min="3" max="3" width="12.85546875" bestFit="1" customWidth="1"/>
    <col min="4" max="4" width="37.42578125" bestFit="1" customWidth="1"/>
    <col min="5" max="5" width="21.5703125" bestFit="1" customWidth="1"/>
    <col min="7" max="7" width="14.5703125" bestFit="1" customWidth="1"/>
    <col min="9" max="9" width="14.85546875" bestFit="1" customWidth="1"/>
    <col min="12" max="13" width="14.85546875" bestFit="1" customWidth="1"/>
    <col min="14" max="14" width="23.28515625" customWidth="1"/>
    <col min="17" max="17" width="15.85546875" bestFit="1" customWidth="1"/>
    <col min="20" max="20" width="14.5703125" bestFit="1" customWidth="1"/>
    <col min="23" max="23" width="16.42578125" bestFit="1" customWidth="1"/>
    <col min="25" max="25" width="14.85546875" bestFit="1" customWidth="1"/>
  </cols>
  <sheetData>
    <row r="1" spans="1:29">
      <c r="A1" s="42" t="s">
        <v>0</v>
      </c>
      <c r="B1" s="42">
        <v>13</v>
      </c>
    </row>
    <row r="2" spans="1:29" s="41" customFormat="1">
      <c r="A2" s="300" t="s">
        <v>5</v>
      </c>
      <c r="B2" s="108" t="s">
        <v>438</v>
      </c>
      <c r="C2" s="39"/>
    </row>
    <row r="3" spans="1:29">
      <c r="A3" s="101" t="s">
        <v>7</v>
      </c>
      <c r="B3" t="s">
        <v>439</v>
      </c>
      <c r="C3" s="102"/>
    </row>
    <row r="4" spans="1:29">
      <c r="A4" s="101" t="s">
        <v>9</v>
      </c>
      <c r="B4" s="301" t="s">
        <v>440</v>
      </c>
      <c r="C4" s="102"/>
    </row>
    <row r="5" spans="1:29" ht="90">
      <c r="A5" s="101" t="s">
        <v>11</v>
      </c>
      <c r="B5" s="103" t="s">
        <v>441</v>
      </c>
    </row>
    <row r="6" spans="1:29">
      <c r="A6" s="101" t="s">
        <v>13</v>
      </c>
      <c r="B6" t="s">
        <v>14</v>
      </c>
    </row>
    <row r="7" spans="1:29">
      <c r="A7" s="101" t="s">
        <v>15</v>
      </c>
      <c r="B7">
        <f>B12</f>
        <v>1</v>
      </c>
    </row>
    <row r="8" spans="1:29">
      <c r="A8" s="101" t="s">
        <v>16</v>
      </c>
      <c r="B8" t="s">
        <v>17</v>
      </c>
    </row>
    <row r="9" spans="1:29">
      <c r="A9" s="101" t="s">
        <v>18</v>
      </c>
      <c r="B9" t="str">
        <f>C12</f>
        <v>unit</v>
      </c>
    </row>
    <row r="10" spans="1:29">
      <c r="A10" s="302" t="s">
        <v>19</v>
      </c>
    </row>
    <row r="11" spans="1:29">
      <c r="A11" s="302" t="s">
        <v>20</v>
      </c>
      <c r="B11" s="159" t="s">
        <v>21</v>
      </c>
      <c r="C11" s="159" t="s">
        <v>18</v>
      </c>
      <c r="D11" s="159" t="s">
        <v>22</v>
      </c>
      <c r="E11" s="159" t="s">
        <v>7</v>
      </c>
      <c r="F11" s="159" t="s">
        <v>13</v>
      </c>
      <c r="G11" s="159" t="s">
        <v>16</v>
      </c>
      <c r="H11" s="159" t="s">
        <v>23</v>
      </c>
      <c r="I11" s="159" t="s">
        <v>24</v>
      </c>
      <c r="J11" s="159" t="s">
        <v>25</v>
      </c>
      <c r="K11" s="159" t="s">
        <v>26</v>
      </c>
      <c r="L11" s="159" t="s">
        <v>27</v>
      </c>
      <c r="M11" s="159" t="s">
        <v>28</v>
      </c>
    </row>
    <row r="12" spans="1:29" s="304" customFormat="1">
      <c r="A12" s="303" t="str">
        <f>B2</f>
        <v>production of PEMFC fuel cell plant unit, Medium-Term, PEMFC-bat</v>
      </c>
      <c r="B12" s="304">
        <v>1</v>
      </c>
      <c r="C12" s="304" t="s">
        <v>18</v>
      </c>
      <c r="D12" s="304" t="s">
        <v>2</v>
      </c>
      <c r="E12" s="304" t="s">
        <v>439</v>
      </c>
      <c r="F12" s="304" t="s">
        <v>14</v>
      </c>
      <c r="G12" s="304" t="s">
        <v>30</v>
      </c>
      <c r="H12" s="304">
        <v>1</v>
      </c>
      <c r="I12" s="304">
        <v>1</v>
      </c>
      <c r="J12" s="304" t="s">
        <v>31</v>
      </c>
      <c r="K12" s="304" t="s">
        <v>31</v>
      </c>
      <c r="L12" s="304" t="s">
        <v>31</v>
      </c>
      <c r="M12" s="304" t="s">
        <v>31</v>
      </c>
      <c r="AC12"/>
    </row>
    <row r="13" spans="1:29">
      <c r="A13" s="101" t="str">
        <f>A24</f>
        <v>production of fuel cell system, Medium-Term, PEMFC-bat</v>
      </c>
      <c r="B13">
        <v>8</v>
      </c>
      <c r="C13" t="s">
        <v>18</v>
      </c>
      <c r="D13" t="str">
        <f>D12</f>
        <v>GENESIS_2040_PEMFC-bat_NDC</v>
      </c>
      <c r="E13" t="s">
        <v>439</v>
      </c>
      <c r="F13" t="s">
        <v>14</v>
      </c>
      <c r="G13" t="s">
        <v>33</v>
      </c>
      <c r="H13">
        <v>1</v>
      </c>
      <c r="I13">
        <v>1</v>
      </c>
      <c r="J13" t="s">
        <v>31</v>
      </c>
      <c r="K13" t="s">
        <v>31</v>
      </c>
      <c r="L13" t="s">
        <v>31</v>
      </c>
      <c r="M13" t="s">
        <v>31</v>
      </c>
      <c r="O13" t="s">
        <v>442</v>
      </c>
    </row>
    <row r="14" spans="1:29" s="41" customFormat="1">
      <c r="A14" s="300" t="s">
        <v>5</v>
      </c>
      <c r="B14" s="108" t="s">
        <v>443</v>
      </c>
      <c r="C14" s="39"/>
      <c r="AC14"/>
    </row>
    <row r="15" spans="1:29">
      <c r="A15" s="101" t="s">
        <v>7</v>
      </c>
      <c r="B15" t="s">
        <v>439</v>
      </c>
      <c r="C15" s="102"/>
    </row>
    <row r="16" spans="1:29">
      <c r="A16" s="101" t="s">
        <v>9</v>
      </c>
      <c r="B16" s="301" t="s">
        <v>444</v>
      </c>
      <c r="C16" s="102"/>
    </row>
    <row r="17" spans="1:29" ht="165">
      <c r="A17" s="101" t="s">
        <v>11</v>
      </c>
      <c r="B17" s="103" t="s">
        <v>445</v>
      </c>
    </row>
    <row r="18" spans="1:29">
      <c r="A18" s="101" t="s">
        <v>13</v>
      </c>
      <c r="B18" t="s">
        <v>14</v>
      </c>
    </row>
    <row r="19" spans="1:29">
      <c r="A19" s="101" t="s">
        <v>15</v>
      </c>
      <c r="B19">
        <v>1</v>
      </c>
    </row>
    <row r="20" spans="1:29">
      <c r="A20" s="101" t="s">
        <v>16</v>
      </c>
      <c r="B20" t="s">
        <v>17</v>
      </c>
    </row>
    <row r="21" spans="1:29">
      <c r="A21" s="101" t="s">
        <v>18</v>
      </c>
      <c r="B21" t="s">
        <v>18</v>
      </c>
    </row>
    <row r="22" spans="1:29">
      <c r="A22" s="302" t="s">
        <v>19</v>
      </c>
    </row>
    <row r="23" spans="1:29">
      <c r="A23" s="302" t="s">
        <v>20</v>
      </c>
      <c r="B23" s="159" t="s">
        <v>21</v>
      </c>
      <c r="C23" s="159" t="s">
        <v>18</v>
      </c>
      <c r="D23" s="159" t="s">
        <v>22</v>
      </c>
      <c r="E23" s="159" t="s">
        <v>7</v>
      </c>
      <c r="F23" s="159" t="s">
        <v>13</v>
      </c>
      <c r="G23" s="159" t="s">
        <v>16</v>
      </c>
      <c r="H23" s="159" t="s">
        <v>23</v>
      </c>
      <c r="I23" s="159" t="s">
        <v>24</v>
      </c>
      <c r="J23" s="159" t="s">
        <v>25</v>
      </c>
      <c r="K23" s="159" t="s">
        <v>26</v>
      </c>
      <c r="L23" s="159" t="s">
        <v>27</v>
      </c>
      <c r="M23" s="159" t="s">
        <v>28</v>
      </c>
    </row>
    <row r="24" spans="1:29" s="304" customFormat="1">
      <c r="A24" s="303" t="str">
        <f>B14</f>
        <v>production of fuel cell system, Medium-Term, PEMFC-bat</v>
      </c>
      <c r="B24" s="304">
        <v>1</v>
      </c>
      <c r="C24" s="304" t="s">
        <v>18</v>
      </c>
      <c r="D24" s="304" t="s">
        <v>2</v>
      </c>
      <c r="E24" s="304" t="s">
        <v>439</v>
      </c>
      <c r="F24" s="304" t="s">
        <v>14</v>
      </c>
      <c r="G24" s="304" t="s">
        <v>30</v>
      </c>
      <c r="H24" s="304">
        <v>1</v>
      </c>
      <c r="I24" s="304">
        <v>1</v>
      </c>
      <c r="J24" s="304" t="s">
        <v>31</v>
      </c>
      <c r="K24" s="304" t="s">
        <v>31</v>
      </c>
      <c r="L24" s="304" t="s">
        <v>31</v>
      </c>
      <c r="M24" s="304" t="s">
        <v>31</v>
      </c>
      <c r="N24" s="304" t="s">
        <v>446</v>
      </c>
      <c r="O24" s="305" t="s">
        <v>447</v>
      </c>
      <c r="P24" s="306" t="s">
        <v>448</v>
      </c>
      <c r="Q24" s="306" t="s">
        <v>21</v>
      </c>
      <c r="R24" s="307" t="s">
        <v>449</v>
      </c>
      <c r="T24" s="306" t="s">
        <v>450</v>
      </c>
      <c r="AC24" t="e">
        <f>M24-L24</f>
        <v>#VALUE!</v>
      </c>
    </row>
    <row r="25" spans="1:29">
      <c r="A25" t="s">
        <v>451</v>
      </c>
      <c r="B25">
        <f>R25</f>
        <v>2</v>
      </c>
      <c r="C25" s="304" t="s">
        <v>18</v>
      </c>
      <c r="D25" t="s">
        <v>2</v>
      </c>
      <c r="E25" t="s">
        <v>439</v>
      </c>
      <c r="F25" t="s">
        <v>58</v>
      </c>
      <c r="G25" t="s">
        <v>33</v>
      </c>
      <c r="H25">
        <v>5</v>
      </c>
      <c r="I25">
        <f>B25</f>
        <v>2</v>
      </c>
      <c r="J25" t="s">
        <v>31</v>
      </c>
      <c r="K25" t="s">
        <v>31</v>
      </c>
      <c r="L25">
        <f>$I$25-1</f>
        <v>1</v>
      </c>
      <c r="M25">
        <f>$I$25+1</f>
        <v>3</v>
      </c>
      <c r="O25" s="308">
        <v>1</v>
      </c>
      <c r="P25">
        <v>1</v>
      </c>
      <c r="Q25">
        <v>2</v>
      </c>
      <c r="R25" s="309">
        <f>(Q25/P25)*O25</f>
        <v>2</v>
      </c>
      <c r="T25" t="s">
        <v>452</v>
      </c>
      <c r="U25" t="s">
        <v>453</v>
      </c>
      <c r="AC25">
        <f t="shared" ref="AC25:AC88" si="0">M25-L25</f>
        <v>2</v>
      </c>
    </row>
    <row r="26" spans="1:29">
      <c r="A26" t="s">
        <v>454</v>
      </c>
      <c r="B26">
        <f t="shared" ref="B26:B34" si="1">R26</f>
        <v>0.52631578947368418</v>
      </c>
      <c r="C26" s="304" t="s">
        <v>18</v>
      </c>
      <c r="D26" t="s">
        <v>2</v>
      </c>
      <c r="E26" t="s">
        <v>439</v>
      </c>
      <c r="F26" t="s">
        <v>58</v>
      </c>
      <c r="G26" t="s">
        <v>33</v>
      </c>
      <c r="H26">
        <v>5</v>
      </c>
      <c r="I26">
        <f>B26</f>
        <v>0.52631578947368418</v>
      </c>
      <c r="J26" t="s">
        <v>31</v>
      </c>
      <c r="K26" t="s">
        <v>31</v>
      </c>
      <c r="L26">
        <f>$B26</f>
        <v>0.52631578947368418</v>
      </c>
      <c r="M26">
        <f>$B26+2</f>
        <v>2.5263157894736841</v>
      </c>
      <c r="O26" s="310">
        <v>0.5</v>
      </c>
      <c r="P26">
        <v>0.95</v>
      </c>
      <c r="Q26">
        <v>1</v>
      </c>
      <c r="R26" s="309">
        <f>(Q26/P26)*O26</f>
        <v>0.52631578947368418</v>
      </c>
      <c r="T26" t="s">
        <v>455</v>
      </c>
      <c r="U26" t="s">
        <v>456</v>
      </c>
      <c r="AC26">
        <f t="shared" si="0"/>
        <v>2</v>
      </c>
    </row>
    <row r="27" spans="1:29">
      <c r="A27" t="s">
        <v>457</v>
      </c>
      <c r="B27">
        <f t="shared" si="1"/>
        <v>0.5</v>
      </c>
      <c r="C27" s="304" t="s">
        <v>18</v>
      </c>
      <c r="D27" t="s">
        <v>2</v>
      </c>
      <c r="E27" t="s">
        <v>439</v>
      </c>
      <c r="F27" t="s">
        <v>58</v>
      </c>
      <c r="G27" t="s">
        <v>33</v>
      </c>
      <c r="H27">
        <v>5</v>
      </c>
      <c r="I27">
        <f t="shared" ref="I27:I37" si="2">B27</f>
        <v>0.5</v>
      </c>
      <c r="J27" t="s">
        <v>31</v>
      </c>
      <c r="K27" t="s">
        <v>31</v>
      </c>
      <c r="L27">
        <f>$B27</f>
        <v>0.5</v>
      </c>
      <c r="M27">
        <f>$B27+1</f>
        <v>1.5</v>
      </c>
      <c r="N27" t="s">
        <v>458</v>
      </c>
      <c r="O27" s="310">
        <v>0.5</v>
      </c>
      <c r="P27">
        <v>1</v>
      </c>
      <c r="Q27">
        <v>1</v>
      </c>
      <c r="R27" s="309">
        <f t="shared" ref="R27:R39" si="3">(Q27/P27)*O27</f>
        <v>0.5</v>
      </c>
      <c r="T27" t="s">
        <v>459</v>
      </c>
      <c r="U27" t="s">
        <v>460</v>
      </c>
      <c r="AC27">
        <f t="shared" si="0"/>
        <v>1</v>
      </c>
    </row>
    <row r="28" spans="1:29">
      <c r="A28" t="s">
        <v>461</v>
      </c>
      <c r="B28">
        <f t="shared" si="1"/>
        <v>2</v>
      </c>
      <c r="C28" s="304" t="s">
        <v>18</v>
      </c>
      <c r="D28" t="s">
        <v>2</v>
      </c>
      <c r="E28" t="s">
        <v>439</v>
      </c>
      <c r="F28" t="s">
        <v>58</v>
      </c>
      <c r="G28" t="s">
        <v>33</v>
      </c>
      <c r="H28">
        <v>5</v>
      </c>
      <c r="I28">
        <f t="shared" si="2"/>
        <v>2</v>
      </c>
      <c r="J28" t="s">
        <v>31</v>
      </c>
      <c r="K28" t="s">
        <v>31</v>
      </c>
      <c r="L28">
        <f>B28-1</f>
        <v>1</v>
      </c>
      <c r="M28">
        <f>B28+1</f>
        <v>3</v>
      </c>
      <c r="O28" s="310">
        <v>1</v>
      </c>
      <c r="P28">
        <v>1</v>
      </c>
      <c r="Q28">
        <v>2</v>
      </c>
      <c r="R28" s="309">
        <f t="shared" si="3"/>
        <v>2</v>
      </c>
      <c r="T28" t="s">
        <v>452</v>
      </c>
      <c r="U28" t="s">
        <v>462</v>
      </c>
      <c r="AC28">
        <f t="shared" si="0"/>
        <v>2</v>
      </c>
    </row>
    <row r="29" spans="1:29">
      <c r="A29" t="s">
        <v>463</v>
      </c>
      <c r="B29">
        <f t="shared" si="1"/>
        <v>2</v>
      </c>
      <c r="C29" s="304" t="s">
        <v>18</v>
      </c>
      <c r="D29" t="s">
        <v>2</v>
      </c>
      <c r="E29" t="s">
        <v>439</v>
      </c>
      <c r="F29" t="s">
        <v>58</v>
      </c>
      <c r="G29" t="s">
        <v>33</v>
      </c>
      <c r="H29">
        <v>5</v>
      </c>
      <c r="I29">
        <f t="shared" si="2"/>
        <v>2</v>
      </c>
      <c r="J29" t="s">
        <v>31</v>
      </c>
      <c r="K29" t="s">
        <v>31</v>
      </c>
      <c r="L29">
        <f t="shared" ref="L29:L31" si="4">B29-1</f>
        <v>1</v>
      </c>
      <c r="M29">
        <f t="shared" ref="M29:M31" si="5">B29+1</f>
        <v>3</v>
      </c>
      <c r="O29" s="310">
        <v>1</v>
      </c>
      <c r="P29">
        <v>1</v>
      </c>
      <c r="Q29">
        <v>2</v>
      </c>
      <c r="R29" s="309">
        <f t="shared" si="3"/>
        <v>2</v>
      </c>
      <c r="T29" t="s">
        <v>452</v>
      </c>
      <c r="U29" t="s">
        <v>464</v>
      </c>
      <c r="AC29">
        <f t="shared" si="0"/>
        <v>2</v>
      </c>
    </row>
    <row r="30" spans="1:29">
      <c r="A30" t="s">
        <v>465</v>
      </c>
      <c r="B30">
        <f t="shared" si="1"/>
        <v>0.5</v>
      </c>
      <c r="C30" s="304" t="s">
        <v>18</v>
      </c>
      <c r="D30" t="s">
        <v>2</v>
      </c>
      <c r="E30" t="s">
        <v>439</v>
      </c>
      <c r="F30" t="s">
        <v>58</v>
      </c>
      <c r="G30" t="s">
        <v>33</v>
      </c>
      <c r="H30">
        <v>5</v>
      </c>
      <c r="I30">
        <f t="shared" si="2"/>
        <v>0.5</v>
      </c>
      <c r="J30" t="s">
        <v>31</v>
      </c>
      <c r="K30" t="s">
        <v>31</v>
      </c>
      <c r="L30">
        <f t="shared" si="4"/>
        <v>-0.5</v>
      </c>
      <c r="M30">
        <f t="shared" si="5"/>
        <v>1.5</v>
      </c>
      <c r="O30" s="310">
        <v>0.5</v>
      </c>
      <c r="P30">
        <v>1</v>
      </c>
      <c r="Q30">
        <v>1</v>
      </c>
      <c r="R30" s="309">
        <f t="shared" si="3"/>
        <v>0.5</v>
      </c>
      <c r="T30" t="s">
        <v>452</v>
      </c>
      <c r="U30" t="s">
        <v>466</v>
      </c>
      <c r="AC30">
        <f t="shared" si="0"/>
        <v>2</v>
      </c>
    </row>
    <row r="31" spans="1:29">
      <c r="A31" t="s">
        <v>467</v>
      </c>
      <c r="B31">
        <f t="shared" si="1"/>
        <v>2</v>
      </c>
      <c r="C31" s="304" t="s">
        <v>18</v>
      </c>
      <c r="D31" t="s">
        <v>2</v>
      </c>
      <c r="E31" t="s">
        <v>439</v>
      </c>
      <c r="F31" t="s">
        <v>58</v>
      </c>
      <c r="G31" t="s">
        <v>33</v>
      </c>
      <c r="H31">
        <v>5</v>
      </c>
      <c r="I31">
        <f t="shared" si="2"/>
        <v>2</v>
      </c>
      <c r="J31" t="s">
        <v>31</v>
      </c>
      <c r="K31" t="s">
        <v>31</v>
      </c>
      <c r="L31">
        <f t="shared" si="4"/>
        <v>1</v>
      </c>
      <c r="M31">
        <f t="shared" si="5"/>
        <v>3</v>
      </c>
      <c r="O31" s="310">
        <v>2</v>
      </c>
      <c r="P31">
        <v>1</v>
      </c>
      <c r="Q31">
        <v>1</v>
      </c>
      <c r="R31" s="309">
        <f t="shared" si="3"/>
        <v>2</v>
      </c>
      <c r="T31" t="s">
        <v>452</v>
      </c>
      <c r="U31" t="s">
        <v>468</v>
      </c>
      <c r="AC31">
        <f t="shared" si="0"/>
        <v>2</v>
      </c>
    </row>
    <row r="32" spans="1:29">
      <c r="A32" t="s">
        <v>469</v>
      </c>
      <c r="B32">
        <f t="shared" si="1"/>
        <v>1.0526315789473684</v>
      </c>
      <c r="C32" s="304" t="s">
        <v>18</v>
      </c>
      <c r="D32" t="s">
        <v>2</v>
      </c>
      <c r="E32" t="s">
        <v>439</v>
      </c>
      <c r="F32" t="s">
        <v>58</v>
      </c>
      <c r="G32" t="s">
        <v>33</v>
      </c>
      <c r="H32">
        <v>5</v>
      </c>
      <c r="I32">
        <f t="shared" si="2"/>
        <v>1.0526315789473684</v>
      </c>
      <c r="J32" t="s">
        <v>31</v>
      </c>
      <c r="K32" t="s">
        <v>31</v>
      </c>
      <c r="L32">
        <f>B32-0.5*B32</f>
        <v>0.52631578947368418</v>
      </c>
      <c r="M32">
        <f>B32+0.5*B32</f>
        <v>1.5789473684210527</v>
      </c>
      <c r="O32" s="310">
        <v>0.5</v>
      </c>
      <c r="P32">
        <v>0.95</v>
      </c>
      <c r="Q32">
        <v>2</v>
      </c>
      <c r="R32" s="309">
        <f t="shared" si="3"/>
        <v>1.0526315789473684</v>
      </c>
      <c r="T32" t="s">
        <v>470</v>
      </c>
      <c r="U32" t="s">
        <v>471</v>
      </c>
      <c r="AC32">
        <f t="shared" si="0"/>
        <v>1.0526315789473686</v>
      </c>
    </row>
    <row r="33" spans="1:29">
      <c r="A33" t="s">
        <v>472</v>
      </c>
      <c r="B33">
        <f t="shared" si="1"/>
        <v>0.51020408163265307</v>
      </c>
      <c r="C33" s="304" t="s">
        <v>18</v>
      </c>
      <c r="D33" t="s">
        <v>2</v>
      </c>
      <c r="E33" t="s">
        <v>439</v>
      </c>
      <c r="F33" t="s">
        <v>58</v>
      </c>
      <c r="G33" t="s">
        <v>33</v>
      </c>
      <c r="H33">
        <v>5</v>
      </c>
      <c r="I33">
        <f t="shared" si="2"/>
        <v>0.51020408163265307</v>
      </c>
      <c r="J33" t="s">
        <v>31</v>
      </c>
      <c r="K33" t="s">
        <v>31</v>
      </c>
      <c r="L33">
        <f>B33-0.3*B33</f>
        <v>0.35714285714285715</v>
      </c>
      <c r="M33">
        <f>B33+0.3*B33</f>
        <v>0.66326530612244894</v>
      </c>
      <c r="O33" s="310">
        <v>0.5</v>
      </c>
      <c r="P33">
        <v>0.98</v>
      </c>
      <c r="Q33">
        <v>1</v>
      </c>
      <c r="R33" s="309">
        <f t="shared" si="3"/>
        <v>0.51020408163265307</v>
      </c>
      <c r="T33" t="s">
        <v>473</v>
      </c>
      <c r="U33" t="s">
        <v>474</v>
      </c>
      <c r="AC33">
        <f t="shared" si="0"/>
        <v>0.30612244897959179</v>
      </c>
    </row>
    <row r="34" spans="1:29">
      <c r="A34" t="s">
        <v>475</v>
      </c>
      <c r="B34">
        <f t="shared" si="1"/>
        <v>0.52631578947368418</v>
      </c>
      <c r="C34" s="304" t="s">
        <v>18</v>
      </c>
      <c r="D34" t="s">
        <v>2</v>
      </c>
      <c r="E34" t="s">
        <v>439</v>
      </c>
      <c r="F34" t="s">
        <v>58</v>
      </c>
      <c r="G34" t="s">
        <v>33</v>
      </c>
      <c r="H34">
        <v>5</v>
      </c>
      <c r="I34">
        <f t="shared" si="2"/>
        <v>0.52631578947368418</v>
      </c>
      <c r="J34" t="s">
        <v>31</v>
      </c>
      <c r="K34" t="s">
        <v>31</v>
      </c>
      <c r="L34">
        <f t="shared" ref="L34:L39" si="6">B34-0.5*B34</f>
        <v>0.26315789473684209</v>
      </c>
      <c r="M34">
        <f t="shared" ref="M34:M39" si="7">B34+0.5*B34</f>
        <v>0.78947368421052633</v>
      </c>
      <c r="O34" s="310">
        <v>0.5</v>
      </c>
      <c r="P34">
        <v>0.95</v>
      </c>
      <c r="Q34">
        <v>1</v>
      </c>
      <c r="R34" s="309">
        <f t="shared" si="3"/>
        <v>0.52631578947368418</v>
      </c>
      <c r="T34" t="s">
        <v>470</v>
      </c>
      <c r="U34" t="s">
        <v>476</v>
      </c>
      <c r="AC34">
        <f t="shared" si="0"/>
        <v>0.52631578947368429</v>
      </c>
    </row>
    <row r="35" spans="1:29">
      <c r="A35" t="s">
        <v>75</v>
      </c>
      <c r="B35">
        <f>Q35</f>
        <v>-1440</v>
      </c>
      <c r="C35" t="s">
        <v>39</v>
      </c>
      <c r="D35" t="s">
        <v>40</v>
      </c>
      <c r="E35" t="s">
        <v>439</v>
      </c>
      <c r="F35" t="s">
        <v>58</v>
      </c>
      <c r="G35" t="s">
        <v>33</v>
      </c>
      <c r="H35">
        <v>5</v>
      </c>
      <c r="I35">
        <f t="shared" si="2"/>
        <v>-1440</v>
      </c>
      <c r="J35" t="s">
        <v>31</v>
      </c>
      <c r="K35" t="s">
        <v>31</v>
      </c>
      <c r="L35">
        <f>B35+0.5*B35</f>
        <v>-2160</v>
      </c>
      <c r="M35">
        <f>B35-0.5*B35</f>
        <v>-720</v>
      </c>
      <c r="O35" s="310">
        <v>1</v>
      </c>
      <c r="P35">
        <v>1</v>
      </c>
      <c r="Q35">
        <v>-1440</v>
      </c>
      <c r="R35" s="309">
        <f t="shared" si="3"/>
        <v>-1440</v>
      </c>
      <c r="T35" t="s">
        <v>470</v>
      </c>
      <c r="AC35">
        <f t="shared" si="0"/>
        <v>1440</v>
      </c>
    </row>
    <row r="36" spans="1:29">
      <c r="A36" s="22" t="s">
        <v>220</v>
      </c>
      <c r="B36">
        <f>Q36</f>
        <v>-4241.4545454545496</v>
      </c>
      <c r="C36" t="s">
        <v>170</v>
      </c>
      <c r="D36" t="s">
        <v>40</v>
      </c>
      <c r="E36" t="s">
        <v>439</v>
      </c>
      <c r="F36" t="s">
        <v>58</v>
      </c>
      <c r="G36" t="s">
        <v>33</v>
      </c>
      <c r="H36">
        <v>5</v>
      </c>
      <c r="I36">
        <f t="shared" si="2"/>
        <v>-4241.4545454545496</v>
      </c>
      <c r="J36" t="s">
        <v>31</v>
      </c>
      <c r="K36" t="s">
        <v>31</v>
      </c>
      <c r="L36">
        <f>B36+0.5*B36</f>
        <v>-6362.1818181818244</v>
      </c>
      <c r="M36">
        <f>B36-0.5*B36</f>
        <v>-2120.7272727272748</v>
      </c>
      <c r="O36" s="310">
        <v>1</v>
      </c>
      <c r="P36">
        <v>1</v>
      </c>
      <c r="Q36">
        <v>-4241.4545454545496</v>
      </c>
      <c r="R36" s="309">
        <f t="shared" si="3"/>
        <v>-4241.4545454545496</v>
      </c>
      <c r="T36" t="s">
        <v>470</v>
      </c>
      <c r="AC36">
        <f t="shared" si="0"/>
        <v>4241.4545454545496</v>
      </c>
    </row>
    <row r="37" spans="1:29">
      <c r="A37" s="47" t="s">
        <v>73</v>
      </c>
      <c r="B37">
        <f>Q37</f>
        <v>22.3</v>
      </c>
      <c r="C37" t="s">
        <v>37</v>
      </c>
      <c r="D37" t="s">
        <v>40</v>
      </c>
      <c r="E37" t="s">
        <v>439</v>
      </c>
      <c r="F37" t="s">
        <v>58</v>
      </c>
      <c r="G37" t="s">
        <v>33</v>
      </c>
      <c r="H37">
        <v>5</v>
      </c>
      <c r="I37">
        <f t="shared" si="2"/>
        <v>22.3</v>
      </c>
      <c r="J37" t="s">
        <v>31</v>
      </c>
      <c r="K37" t="s">
        <v>31</v>
      </c>
      <c r="L37">
        <f t="shared" si="6"/>
        <v>11.15</v>
      </c>
      <c r="M37">
        <f t="shared" si="7"/>
        <v>33.450000000000003</v>
      </c>
      <c r="N37" t="s">
        <v>477</v>
      </c>
      <c r="O37" s="310">
        <v>1</v>
      </c>
      <c r="P37">
        <v>1</v>
      </c>
      <c r="Q37">
        <f>20*0.001*1115</f>
        <v>22.3</v>
      </c>
      <c r="R37" s="309">
        <f t="shared" si="3"/>
        <v>22.3</v>
      </c>
      <c r="T37" t="s">
        <v>470</v>
      </c>
      <c r="AC37">
        <f t="shared" si="0"/>
        <v>22.300000000000004</v>
      </c>
    </row>
    <row r="38" spans="1:29">
      <c r="A38" s="47" t="s">
        <v>478</v>
      </c>
      <c r="B38">
        <f>R38</f>
        <v>78.545454545454533</v>
      </c>
      <c r="C38" t="s">
        <v>37</v>
      </c>
      <c r="D38" t="s">
        <v>40</v>
      </c>
      <c r="E38" t="s">
        <v>439</v>
      </c>
      <c r="F38" t="s">
        <v>58</v>
      </c>
      <c r="G38" t="s">
        <v>33</v>
      </c>
      <c r="H38">
        <v>5</v>
      </c>
      <c r="I38">
        <f>B38</f>
        <v>78.545454545454533</v>
      </c>
      <c r="J38" t="s">
        <v>31</v>
      </c>
      <c r="K38" t="s">
        <v>31</v>
      </c>
      <c r="L38">
        <f t="shared" si="6"/>
        <v>39.272727272727266</v>
      </c>
      <c r="M38">
        <f t="shared" si="7"/>
        <v>117.8181818181818</v>
      </c>
      <c r="N38" t="s">
        <v>479</v>
      </c>
      <c r="O38" s="310">
        <v>1</v>
      </c>
      <c r="P38">
        <v>1</v>
      </c>
      <c r="Q38">
        <v>78.545454545454533</v>
      </c>
      <c r="R38" s="309">
        <f t="shared" si="3"/>
        <v>78.545454545454533</v>
      </c>
      <c r="T38" t="s">
        <v>470</v>
      </c>
      <c r="AC38">
        <f t="shared" si="0"/>
        <v>78.545454545454533</v>
      </c>
    </row>
    <row r="39" spans="1:29">
      <c r="A39" s="47" t="s">
        <v>480</v>
      </c>
      <c r="B39">
        <f>R39</f>
        <v>0.02</v>
      </c>
      <c r="C39" t="s">
        <v>37</v>
      </c>
      <c r="D39" t="s">
        <v>40</v>
      </c>
      <c r="E39" t="s">
        <v>439</v>
      </c>
      <c r="F39" t="s">
        <v>128</v>
      </c>
      <c r="G39" t="s">
        <v>33</v>
      </c>
      <c r="H39">
        <v>5</v>
      </c>
      <c r="I39">
        <f>B39</f>
        <v>0.02</v>
      </c>
      <c r="J39" t="s">
        <v>31</v>
      </c>
      <c r="K39" t="s">
        <v>31</v>
      </c>
      <c r="L39">
        <f t="shared" si="6"/>
        <v>0.01</v>
      </c>
      <c r="M39">
        <f t="shared" si="7"/>
        <v>0.03</v>
      </c>
      <c r="N39" t="s">
        <v>481</v>
      </c>
      <c r="O39" s="310">
        <v>1</v>
      </c>
      <c r="P39">
        <v>1</v>
      </c>
      <c r="Q39">
        <v>0.02</v>
      </c>
      <c r="R39" s="309">
        <f t="shared" si="3"/>
        <v>0.02</v>
      </c>
      <c r="T39" t="s">
        <v>470</v>
      </c>
      <c r="AC39">
        <f t="shared" si="0"/>
        <v>1.9999999999999997E-2</v>
      </c>
    </row>
    <row r="40" spans="1:29" s="41" customFormat="1">
      <c r="A40" s="300" t="s">
        <v>5</v>
      </c>
      <c r="B40" s="108" t="s">
        <v>451</v>
      </c>
      <c r="C40" s="39"/>
      <c r="AC40">
        <f t="shared" si="0"/>
        <v>0</v>
      </c>
    </row>
    <row r="41" spans="1:29">
      <c r="A41" s="101" t="s">
        <v>7</v>
      </c>
      <c r="B41" t="s">
        <v>439</v>
      </c>
      <c r="C41" s="102"/>
      <c r="AC41">
        <f t="shared" si="0"/>
        <v>0</v>
      </c>
    </row>
    <row r="42" spans="1:29">
      <c r="A42" s="101" t="s">
        <v>9</v>
      </c>
      <c r="B42" s="301" t="s">
        <v>482</v>
      </c>
      <c r="C42" s="102"/>
      <c r="AC42">
        <f t="shared" si="0"/>
        <v>0</v>
      </c>
    </row>
    <row r="43" spans="1:29" ht="50.25" customHeight="1">
      <c r="A43" s="101" t="s">
        <v>11</v>
      </c>
      <c r="B43" s="311" t="s">
        <v>483</v>
      </c>
      <c r="AC43">
        <f t="shared" si="0"/>
        <v>0</v>
      </c>
    </row>
    <row r="44" spans="1:29">
      <c r="A44" s="101" t="s">
        <v>13</v>
      </c>
      <c r="B44" t="s">
        <v>58</v>
      </c>
      <c r="AC44">
        <f t="shared" si="0"/>
        <v>0</v>
      </c>
    </row>
    <row r="45" spans="1:29">
      <c r="A45" s="101" t="s">
        <v>15</v>
      </c>
      <c r="B45">
        <v>1</v>
      </c>
      <c r="AC45">
        <f t="shared" si="0"/>
        <v>0</v>
      </c>
    </row>
    <row r="46" spans="1:29">
      <c r="A46" s="101" t="s">
        <v>16</v>
      </c>
      <c r="B46" t="s">
        <v>17</v>
      </c>
      <c r="AC46">
        <f t="shared" si="0"/>
        <v>0</v>
      </c>
    </row>
    <row r="47" spans="1:29">
      <c r="A47" s="101" t="s">
        <v>18</v>
      </c>
      <c r="B47" t="str">
        <f>C50</f>
        <v>unit</v>
      </c>
      <c r="AC47">
        <f t="shared" si="0"/>
        <v>0</v>
      </c>
    </row>
    <row r="48" spans="1:29">
      <c r="A48" s="302" t="s">
        <v>19</v>
      </c>
      <c r="AC48">
        <f t="shared" si="0"/>
        <v>0</v>
      </c>
    </row>
    <row r="49" spans="1:29">
      <c r="A49" s="302" t="s">
        <v>20</v>
      </c>
      <c r="B49" s="159" t="s">
        <v>21</v>
      </c>
      <c r="C49" s="159" t="s">
        <v>18</v>
      </c>
      <c r="D49" s="159" t="s">
        <v>22</v>
      </c>
      <c r="E49" s="159" t="s">
        <v>7</v>
      </c>
      <c r="F49" s="159" t="s">
        <v>13</v>
      </c>
      <c r="G49" s="159" t="s">
        <v>16</v>
      </c>
      <c r="H49" s="159" t="s">
        <v>23</v>
      </c>
      <c r="I49" s="159" t="s">
        <v>24</v>
      </c>
      <c r="J49" s="159" t="s">
        <v>25</v>
      </c>
      <c r="K49" s="159" t="s">
        <v>26</v>
      </c>
      <c r="L49" s="159" t="s">
        <v>27</v>
      </c>
      <c r="M49" s="159" t="s">
        <v>28</v>
      </c>
      <c r="AC49" t="e">
        <f t="shared" si="0"/>
        <v>#VALUE!</v>
      </c>
    </row>
    <row r="50" spans="1:29" s="304" customFormat="1">
      <c r="A50" s="303" t="str">
        <f>B40</f>
        <v>production of fuel cell stack</v>
      </c>
      <c r="B50" s="304">
        <v>1</v>
      </c>
      <c r="C50" s="304" t="s">
        <v>18</v>
      </c>
      <c r="D50" s="304" t="s">
        <v>2</v>
      </c>
      <c r="E50" s="304" t="s">
        <v>439</v>
      </c>
      <c r="F50" s="304" t="s">
        <v>58</v>
      </c>
      <c r="G50" s="304" t="s">
        <v>30</v>
      </c>
      <c r="H50" s="304">
        <v>1</v>
      </c>
      <c r="I50" s="304">
        <v>1</v>
      </c>
      <c r="J50" s="304" t="s">
        <v>31</v>
      </c>
      <c r="K50" s="304" t="s">
        <v>31</v>
      </c>
      <c r="L50" s="304" t="s">
        <v>31</v>
      </c>
      <c r="M50" s="304" t="s">
        <v>31</v>
      </c>
      <c r="O50" s="305" t="s">
        <v>447</v>
      </c>
      <c r="P50" s="306" t="s">
        <v>448</v>
      </c>
      <c r="Q50" s="306" t="s">
        <v>21</v>
      </c>
      <c r="R50" s="307" t="s">
        <v>449</v>
      </c>
      <c r="T50" s="306" t="s">
        <v>450</v>
      </c>
      <c r="AC50" t="e">
        <f t="shared" si="0"/>
        <v>#VALUE!</v>
      </c>
    </row>
    <row r="51" spans="1:29">
      <c r="A51" s="63" t="s">
        <v>484</v>
      </c>
      <c r="B51">
        <f>R51</f>
        <v>206.18556701030928</v>
      </c>
      <c r="C51" s="304" t="s">
        <v>18</v>
      </c>
      <c r="D51" t="s">
        <v>2</v>
      </c>
      <c r="E51" t="s">
        <v>439</v>
      </c>
      <c r="F51" t="s">
        <v>14</v>
      </c>
      <c r="G51" t="s">
        <v>33</v>
      </c>
      <c r="H51">
        <v>1</v>
      </c>
      <c r="I51">
        <f>B51</f>
        <v>206.18556701030928</v>
      </c>
      <c r="J51" t="s">
        <v>31</v>
      </c>
      <c r="K51" t="s">
        <v>31</v>
      </c>
      <c r="O51" s="308">
        <v>0.5</v>
      </c>
      <c r="P51">
        <v>0.97</v>
      </c>
      <c r="Q51">
        <v>400</v>
      </c>
      <c r="R51" s="309">
        <f>(Q51/P51)*O51</f>
        <v>206.18556701030928</v>
      </c>
      <c r="T51" s="312">
        <f>[2]Use!T24</f>
        <v>0</v>
      </c>
      <c r="U51" t="s">
        <v>485</v>
      </c>
      <c r="AC51">
        <f t="shared" si="0"/>
        <v>0</v>
      </c>
    </row>
    <row r="52" spans="1:29">
      <c r="A52" s="63" t="s">
        <v>486</v>
      </c>
      <c r="B52">
        <f t="shared" ref="B52:B58" si="8">R52</f>
        <v>206.18556701030928</v>
      </c>
      <c r="C52" s="304" t="s">
        <v>18</v>
      </c>
      <c r="D52" t="s">
        <v>2</v>
      </c>
      <c r="E52" t="s">
        <v>439</v>
      </c>
      <c r="F52" t="s">
        <v>14</v>
      </c>
      <c r="G52" t="s">
        <v>33</v>
      </c>
      <c r="H52">
        <v>5</v>
      </c>
      <c r="I52">
        <f t="shared" ref="I52:I62" si="9">B52</f>
        <v>206.18556701030928</v>
      </c>
      <c r="J52" t="s">
        <v>31</v>
      </c>
      <c r="K52" t="s">
        <v>31</v>
      </c>
      <c r="L52">
        <f>B52-0.5*B52</f>
        <v>103.09278350515464</v>
      </c>
      <c r="M52">
        <f t="shared" ref="M52" si="10">B52+0.5*B52</f>
        <v>309.2783505154639</v>
      </c>
      <c r="O52" s="308">
        <v>0.5</v>
      </c>
      <c r="P52">
        <v>0.97</v>
      </c>
      <c r="Q52">
        <v>400</v>
      </c>
      <c r="R52" s="309">
        <f t="shared" ref="R52:R64" si="11">(Q52/P52)*O52</f>
        <v>206.18556701030928</v>
      </c>
      <c r="T52" s="313" t="s">
        <v>487</v>
      </c>
      <c r="U52" t="s">
        <v>488</v>
      </c>
      <c r="AC52">
        <f t="shared" si="0"/>
        <v>206.18556701030926</v>
      </c>
    </row>
    <row r="53" spans="1:29">
      <c r="A53" s="24" t="s">
        <v>489</v>
      </c>
      <c r="B53">
        <f t="shared" si="8"/>
        <v>1.0101010101010102</v>
      </c>
      <c r="C53" s="304" t="s">
        <v>18</v>
      </c>
      <c r="D53" t="s">
        <v>2</v>
      </c>
      <c r="E53" t="s">
        <v>439</v>
      </c>
      <c r="F53" t="s">
        <v>14</v>
      </c>
      <c r="G53" t="s">
        <v>33</v>
      </c>
      <c r="H53">
        <v>1</v>
      </c>
      <c r="I53">
        <f t="shared" si="9"/>
        <v>1.0101010101010102</v>
      </c>
      <c r="J53" t="s">
        <v>31</v>
      </c>
      <c r="K53" t="s">
        <v>31</v>
      </c>
      <c r="O53" s="308">
        <v>0.5</v>
      </c>
      <c r="P53">
        <v>0.99</v>
      </c>
      <c r="Q53">
        <v>2</v>
      </c>
      <c r="R53" s="309">
        <f t="shared" si="11"/>
        <v>1.0101010101010102</v>
      </c>
      <c r="T53" s="312">
        <v>0</v>
      </c>
      <c r="U53" t="s">
        <v>490</v>
      </c>
      <c r="AC53">
        <f t="shared" si="0"/>
        <v>0</v>
      </c>
    </row>
    <row r="54" spans="1:29">
      <c r="A54" s="63" t="s">
        <v>491</v>
      </c>
      <c r="B54">
        <f t="shared" si="8"/>
        <v>3.0612244897959182</v>
      </c>
      <c r="C54" s="304" t="s">
        <v>18</v>
      </c>
      <c r="D54" t="s">
        <v>2</v>
      </c>
      <c r="E54" t="s">
        <v>439</v>
      </c>
      <c r="F54" t="s">
        <v>58</v>
      </c>
      <c r="G54" t="s">
        <v>33</v>
      </c>
      <c r="H54">
        <v>1</v>
      </c>
      <c r="I54">
        <f t="shared" si="9"/>
        <v>3.0612244897959182</v>
      </c>
      <c r="J54" t="s">
        <v>31</v>
      </c>
      <c r="K54" t="s">
        <v>31</v>
      </c>
      <c r="O54" s="308">
        <v>0.5</v>
      </c>
      <c r="P54">
        <v>0.98</v>
      </c>
      <c r="Q54">
        <v>6</v>
      </c>
      <c r="R54" s="309">
        <f t="shared" si="11"/>
        <v>3.0612244897959182</v>
      </c>
      <c r="T54" s="313">
        <v>0</v>
      </c>
      <c r="U54" t="s">
        <v>492</v>
      </c>
      <c r="AC54">
        <f t="shared" si="0"/>
        <v>0</v>
      </c>
    </row>
    <row r="55" spans="1:29">
      <c r="A55" s="63" t="s">
        <v>493</v>
      </c>
      <c r="B55">
        <f t="shared" si="8"/>
        <v>0.51020408163265307</v>
      </c>
      <c r="C55" s="304" t="s">
        <v>18</v>
      </c>
      <c r="D55" t="s">
        <v>2</v>
      </c>
      <c r="E55" t="s">
        <v>439</v>
      </c>
      <c r="F55" t="s">
        <v>58</v>
      </c>
      <c r="G55" t="s">
        <v>33</v>
      </c>
      <c r="H55">
        <v>1</v>
      </c>
      <c r="I55">
        <f t="shared" si="9"/>
        <v>0.51020408163265307</v>
      </c>
      <c r="J55" t="s">
        <v>31</v>
      </c>
      <c r="K55" t="s">
        <v>31</v>
      </c>
      <c r="O55" s="308">
        <v>0.5</v>
      </c>
      <c r="P55">
        <v>0.98</v>
      </c>
      <c r="Q55">
        <v>1</v>
      </c>
      <c r="R55" s="309">
        <f t="shared" si="11"/>
        <v>0.51020408163265307</v>
      </c>
      <c r="T55" s="312">
        <v>0</v>
      </c>
      <c r="U55" t="s">
        <v>494</v>
      </c>
      <c r="AC55">
        <f t="shared" si="0"/>
        <v>0</v>
      </c>
    </row>
    <row r="56" spans="1:29">
      <c r="A56" s="63" t="s">
        <v>495</v>
      </c>
      <c r="B56">
        <f t="shared" si="8"/>
        <v>1.0204081632653061</v>
      </c>
      <c r="C56" s="304" t="s">
        <v>18</v>
      </c>
      <c r="D56" t="s">
        <v>2</v>
      </c>
      <c r="E56" t="s">
        <v>439</v>
      </c>
      <c r="F56" t="s">
        <v>58</v>
      </c>
      <c r="G56" t="s">
        <v>33</v>
      </c>
      <c r="H56">
        <v>5</v>
      </c>
      <c r="I56">
        <f t="shared" si="9"/>
        <v>1.0204081632653061</v>
      </c>
      <c r="J56" t="s">
        <v>31</v>
      </c>
      <c r="K56" t="s">
        <v>31</v>
      </c>
      <c r="L56">
        <f>B56-B56</f>
        <v>0</v>
      </c>
      <c r="M56">
        <f>B56+B56</f>
        <v>2.0408163265306123</v>
      </c>
      <c r="O56" s="308">
        <v>1</v>
      </c>
      <c r="P56">
        <v>0.98</v>
      </c>
      <c r="Q56">
        <v>1</v>
      </c>
      <c r="R56" s="309">
        <f t="shared" si="11"/>
        <v>1.0204081632653061</v>
      </c>
      <c r="T56" s="313" t="s">
        <v>496</v>
      </c>
      <c r="U56" t="s">
        <v>497</v>
      </c>
      <c r="AC56">
        <f t="shared" si="0"/>
        <v>2.0408163265306123</v>
      </c>
    </row>
    <row r="57" spans="1:29">
      <c r="A57" s="63" t="s">
        <v>498</v>
      </c>
      <c r="B57">
        <f t="shared" si="8"/>
        <v>2.0408163265306123</v>
      </c>
      <c r="C57" s="304" t="s">
        <v>18</v>
      </c>
      <c r="D57" t="s">
        <v>2</v>
      </c>
      <c r="E57" t="s">
        <v>439</v>
      </c>
      <c r="F57" t="s">
        <v>58</v>
      </c>
      <c r="G57" t="s">
        <v>33</v>
      </c>
      <c r="H57">
        <v>5</v>
      </c>
      <c r="I57">
        <f t="shared" si="9"/>
        <v>2.0408163265306123</v>
      </c>
      <c r="J57" t="s">
        <v>31</v>
      </c>
      <c r="K57" t="s">
        <v>31</v>
      </c>
      <c r="L57">
        <f t="shared" ref="L57:L58" si="12">B57-B57</f>
        <v>0</v>
      </c>
      <c r="M57">
        <f t="shared" ref="M57" si="13">B57+B57</f>
        <v>4.0816326530612246</v>
      </c>
      <c r="O57" s="308">
        <v>1</v>
      </c>
      <c r="P57">
        <v>0.98</v>
      </c>
      <c r="Q57">
        <v>2</v>
      </c>
      <c r="R57" s="309">
        <f t="shared" si="11"/>
        <v>2.0408163265306123</v>
      </c>
      <c r="T57" s="313" t="s">
        <v>496</v>
      </c>
      <c r="U57" t="s">
        <v>499</v>
      </c>
      <c r="AC57">
        <f t="shared" si="0"/>
        <v>4.0816326530612246</v>
      </c>
    </row>
    <row r="58" spans="1:29">
      <c r="A58" s="60" t="s">
        <v>500</v>
      </c>
      <c r="B58">
        <f t="shared" si="8"/>
        <v>0.51020408163265307</v>
      </c>
      <c r="C58" s="304" t="s">
        <v>18</v>
      </c>
      <c r="D58" t="s">
        <v>2</v>
      </c>
      <c r="E58" t="s">
        <v>439</v>
      </c>
      <c r="F58" t="s">
        <v>58</v>
      </c>
      <c r="G58" t="s">
        <v>33</v>
      </c>
      <c r="H58">
        <v>5</v>
      </c>
      <c r="I58">
        <f t="shared" si="9"/>
        <v>0.51020408163265307</v>
      </c>
      <c r="J58" t="s">
        <v>31</v>
      </c>
      <c r="K58" t="s">
        <v>31</v>
      </c>
      <c r="L58">
        <f t="shared" si="12"/>
        <v>0</v>
      </c>
      <c r="M58">
        <f>B58+B58</f>
        <v>1.0204081632653061</v>
      </c>
      <c r="O58" s="308">
        <v>0.5</v>
      </c>
      <c r="P58">
        <v>0.98</v>
      </c>
      <c r="Q58">
        <v>1</v>
      </c>
      <c r="R58" s="309">
        <f t="shared" si="11"/>
        <v>0.51020408163265307</v>
      </c>
      <c r="T58" s="313" t="s">
        <v>496</v>
      </c>
      <c r="U58" t="s">
        <v>501</v>
      </c>
      <c r="AC58">
        <f t="shared" si="0"/>
        <v>1.0204081632653061</v>
      </c>
    </row>
    <row r="59" spans="1:29">
      <c r="A59" t="s">
        <v>75</v>
      </c>
      <c r="B59">
        <f>Q59</f>
        <v>-720</v>
      </c>
      <c r="C59" t="s">
        <v>39</v>
      </c>
      <c r="D59" t="s">
        <v>40</v>
      </c>
      <c r="E59" t="s">
        <v>439</v>
      </c>
      <c r="F59" t="s">
        <v>58</v>
      </c>
      <c r="G59" t="s">
        <v>33</v>
      </c>
      <c r="H59">
        <v>5</v>
      </c>
      <c r="I59">
        <f t="shared" si="9"/>
        <v>-720</v>
      </c>
      <c r="J59" t="s">
        <v>31</v>
      </c>
      <c r="K59" t="s">
        <v>31</v>
      </c>
      <c r="L59">
        <f>B59+0.5*B59</f>
        <v>-1080</v>
      </c>
      <c r="M59">
        <f>B59-0.5*B59</f>
        <v>-360</v>
      </c>
      <c r="O59" s="310">
        <v>1</v>
      </c>
      <c r="P59">
        <v>1</v>
      </c>
      <c r="Q59">
        <v>-720</v>
      </c>
      <c r="R59" s="309">
        <f t="shared" si="11"/>
        <v>-720</v>
      </c>
      <c r="T59" t="s">
        <v>470</v>
      </c>
      <c r="AC59">
        <f t="shared" si="0"/>
        <v>720</v>
      </c>
    </row>
    <row r="60" spans="1:29">
      <c r="A60" t="s">
        <v>75</v>
      </c>
      <c r="B60">
        <f>Q60</f>
        <v>10</v>
      </c>
      <c r="C60" t="s">
        <v>39</v>
      </c>
      <c r="D60" t="s">
        <v>40</v>
      </c>
      <c r="E60" t="s">
        <v>439</v>
      </c>
      <c r="F60" t="s">
        <v>58</v>
      </c>
      <c r="G60" t="s">
        <v>33</v>
      </c>
      <c r="H60">
        <v>5</v>
      </c>
      <c r="I60">
        <f t="shared" si="9"/>
        <v>10</v>
      </c>
      <c r="J60" t="s">
        <v>31</v>
      </c>
      <c r="K60" t="s">
        <v>31</v>
      </c>
      <c r="L60">
        <f>B60-B60</f>
        <v>0</v>
      </c>
      <c r="M60">
        <f>B60+B60</f>
        <v>20</v>
      </c>
      <c r="O60" s="310">
        <v>1</v>
      </c>
      <c r="P60">
        <v>1</v>
      </c>
      <c r="Q60">
        <v>10</v>
      </c>
      <c r="R60" s="309">
        <f t="shared" si="11"/>
        <v>10</v>
      </c>
      <c r="T60" s="253" t="s">
        <v>502</v>
      </c>
      <c r="AC60">
        <f t="shared" si="0"/>
        <v>20</v>
      </c>
    </row>
    <row r="61" spans="1:29">
      <c r="A61" s="22" t="s">
        <v>220</v>
      </c>
      <c r="B61">
        <f>Q61</f>
        <v>-2120.7272727272698</v>
      </c>
      <c r="C61" t="s">
        <v>170</v>
      </c>
      <c r="D61" t="s">
        <v>40</v>
      </c>
      <c r="E61" t="s">
        <v>439</v>
      </c>
      <c r="F61" t="s">
        <v>58</v>
      </c>
      <c r="G61" t="s">
        <v>33</v>
      </c>
      <c r="H61">
        <v>5</v>
      </c>
      <c r="I61">
        <f t="shared" si="9"/>
        <v>-2120.7272727272698</v>
      </c>
      <c r="J61" t="s">
        <v>31</v>
      </c>
      <c r="K61" t="s">
        <v>31</v>
      </c>
      <c r="L61">
        <f>B61+B61</f>
        <v>-4241.4545454545396</v>
      </c>
      <c r="M61">
        <v>0</v>
      </c>
      <c r="O61" s="310">
        <v>1</v>
      </c>
      <c r="P61">
        <v>1</v>
      </c>
      <c r="Q61">
        <v>-2120.7272727272698</v>
      </c>
      <c r="R61" s="309">
        <f t="shared" si="11"/>
        <v>-2120.7272727272698</v>
      </c>
      <c r="T61" t="s">
        <v>503</v>
      </c>
      <c r="AC61">
        <f t="shared" si="0"/>
        <v>4241.4545454545396</v>
      </c>
    </row>
    <row r="62" spans="1:29">
      <c r="A62" s="47" t="s">
        <v>73</v>
      </c>
      <c r="B62">
        <f>Q62</f>
        <v>5.5750000000000002</v>
      </c>
      <c r="C62" t="s">
        <v>37</v>
      </c>
      <c r="D62" t="s">
        <v>40</v>
      </c>
      <c r="E62" t="s">
        <v>439</v>
      </c>
      <c r="F62" t="s">
        <v>58</v>
      </c>
      <c r="G62" t="s">
        <v>33</v>
      </c>
      <c r="H62">
        <v>1</v>
      </c>
      <c r="I62">
        <f t="shared" si="9"/>
        <v>5.5750000000000002</v>
      </c>
      <c r="J62" t="s">
        <v>31</v>
      </c>
      <c r="K62" t="s">
        <v>31</v>
      </c>
      <c r="N62" t="s">
        <v>477</v>
      </c>
      <c r="O62" s="310">
        <v>1</v>
      </c>
      <c r="P62">
        <v>1</v>
      </c>
      <c r="Q62">
        <f>5*0.001*1115</f>
        <v>5.5750000000000002</v>
      </c>
      <c r="R62" s="309">
        <f t="shared" si="11"/>
        <v>5.5750000000000002</v>
      </c>
      <c r="T62" t="s">
        <v>504</v>
      </c>
      <c r="AC62">
        <f t="shared" si="0"/>
        <v>0</v>
      </c>
    </row>
    <row r="63" spans="1:29">
      <c r="A63" s="47" t="s">
        <v>478</v>
      </c>
      <c r="B63">
        <f>R63</f>
        <v>39.272727272727266</v>
      </c>
      <c r="C63" t="s">
        <v>37</v>
      </c>
      <c r="D63" t="s">
        <v>40</v>
      </c>
      <c r="E63" t="s">
        <v>439</v>
      </c>
      <c r="F63" t="s">
        <v>58</v>
      </c>
      <c r="G63" t="s">
        <v>33</v>
      </c>
      <c r="H63">
        <v>1</v>
      </c>
      <c r="I63">
        <f>B63</f>
        <v>39.272727272727266</v>
      </c>
      <c r="J63" t="s">
        <v>31</v>
      </c>
      <c r="K63" t="s">
        <v>31</v>
      </c>
      <c r="N63" t="s">
        <v>479</v>
      </c>
      <c r="O63" s="310">
        <v>1</v>
      </c>
      <c r="P63">
        <v>1</v>
      </c>
      <c r="Q63">
        <v>39.272727272727266</v>
      </c>
      <c r="R63" s="309">
        <f t="shared" si="11"/>
        <v>39.272727272727266</v>
      </c>
      <c r="T63" t="s">
        <v>504</v>
      </c>
      <c r="AC63">
        <f t="shared" si="0"/>
        <v>0</v>
      </c>
    </row>
    <row r="64" spans="1:29">
      <c r="A64" s="47" t="s">
        <v>480</v>
      </c>
      <c r="B64">
        <f>R64</f>
        <v>0.01</v>
      </c>
      <c r="C64" t="s">
        <v>37</v>
      </c>
      <c r="D64" t="s">
        <v>40</v>
      </c>
      <c r="E64" t="s">
        <v>439</v>
      </c>
      <c r="F64" t="s">
        <v>128</v>
      </c>
      <c r="G64" t="s">
        <v>33</v>
      </c>
      <c r="H64">
        <v>1</v>
      </c>
      <c r="I64">
        <f>B64</f>
        <v>0.01</v>
      </c>
      <c r="J64" t="s">
        <v>31</v>
      </c>
      <c r="K64" t="s">
        <v>31</v>
      </c>
      <c r="L64" t="s">
        <v>31</v>
      </c>
      <c r="M64" t="s">
        <v>31</v>
      </c>
      <c r="N64" t="s">
        <v>505</v>
      </c>
      <c r="O64" s="310">
        <v>1</v>
      </c>
      <c r="P64">
        <v>1</v>
      </c>
      <c r="Q64">
        <v>0.01</v>
      </c>
      <c r="R64" s="314">
        <f t="shared" si="11"/>
        <v>0.01</v>
      </c>
      <c r="T64" t="s">
        <v>504</v>
      </c>
      <c r="AC64" t="e">
        <f t="shared" si="0"/>
        <v>#VALUE!</v>
      </c>
    </row>
    <row r="65" spans="1:29" s="41" customFormat="1">
      <c r="A65" s="300" t="s">
        <v>5</v>
      </c>
      <c r="B65" s="108" t="str">
        <f>A75</f>
        <v>Production of single fuel cell / Membrane Electrode Assemblies (MEA)</v>
      </c>
      <c r="C65" s="39"/>
      <c r="AC65">
        <f t="shared" si="0"/>
        <v>0</v>
      </c>
    </row>
    <row r="66" spans="1:29">
      <c r="A66" s="101" t="s">
        <v>7</v>
      </c>
      <c r="B66" t="s">
        <v>439</v>
      </c>
      <c r="C66" s="102"/>
      <c r="AC66">
        <f t="shared" si="0"/>
        <v>0</v>
      </c>
    </row>
    <row r="67" spans="1:29">
      <c r="A67" s="101" t="s">
        <v>9</v>
      </c>
      <c r="B67" s="301" t="s">
        <v>506</v>
      </c>
      <c r="C67" s="102"/>
      <c r="AC67">
        <f t="shared" si="0"/>
        <v>0</v>
      </c>
    </row>
    <row r="68" spans="1:29" ht="50.25" customHeight="1">
      <c r="A68" s="101" t="s">
        <v>11</v>
      </c>
      <c r="B68" s="311" t="s">
        <v>507</v>
      </c>
      <c r="AC68">
        <f t="shared" si="0"/>
        <v>0</v>
      </c>
    </row>
    <row r="69" spans="1:29">
      <c r="A69" s="101" t="s">
        <v>13</v>
      </c>
      <c r="B69" t="s">
        <v>14</v>
      </c>
      <c r="AC69">
        <f t="shared" si="0"/>
        <v>0</v>
      </c>
    </row>
    <row r="70" spans="1:29">
      <c r="A70" s="101" t="s">
        <v>15</v>
      </c>
      <c r="B70">
        <v>1.07589E-2</v>
      </c>
      <c r="AC70">
        <f t="shared" si="0"/>
        <v>0</v>
      </c>
    </row>
    <row r="71" spans="1:29">
      <c r="A71" s="101" t="s">
        <v>16</v>
      </c>
      <c r="B71" t="s">
        <v>17</v>
      </c>
      <c r="AC71">
        <f t="shared" si="0"/>
        <v>0</v>
      </c>
    </row>
    <row r="72" spans="1:29">
      <c r="A72" s="101" t="s">
        <v>18</v>
      </c>
      <c r="B72" t="s">
        <v>18</v>
      </c>
      <c r="AC72">
        <f t="shared" si="0"/>
        <v>0</v>
      </c>
    </row>
    <row r="73" spans="1:29">
      <c r="A73" s="302" t="s">
        <v>19</v>
      </c>
      <c r="AC73">
        <f t="shared" si="0"/>
        <v>0</v>
      </c>
    </row>
    <row r="74" spans="1:29">
      <c r="A74" s="302" t="s">
        <v>20</v>
      </c>
      <c r="B74" s="159" t="s">
        <v>21</v>
      </c>
      <c r="C74" s="159" t="s">
        <v>18</v>
      </c>
      <c r="D74" s="159" t="s">
        <v>22</v>
      </c>
      <c r="E74" s="159" t="s">
        <v>7</v>
      </c>
      <c r="F74" s="159" t="s">
        <v>13</v>
      </c>
      <c r="G74" s="159" t="s">
        <v>16</v>
      </c>
      <c r="H74" s="159" t="s">
        <v>23</v>
      </c>
      <c r="I74" s="159" t="s">
        <v>24</v>
      </c>
      <c r="J74" s="159" t="s">
        <v>25</v>
      </c>
      <c r="K74" s="159" t="s">
        <v>26</v>
      </c>
      <c r="L74" s="159" t="s">
        <v>27</v>
      </c>
      <c r="M74" s="159" t="s">
        <v>28</v>
      </c>
      <c r="AC74" t="e">
        <f t="shared" si="0"/>
        <v>#VALUE!</v>
      </c>
    </row>
    <row r="75" spans="1:29" s="304" customFormat="1">
      <c r="A75" s="303" t="str">
        <f>A51</f>
        <v>Production of single fuel cell / Membrane Electrode Assemblies (MEA)</v>
      </c>
      <c r="B75" s="304">
        <v>1</v>
      </c>
      <c r="C75" s="304" t="s">
        <v>18</v>
      </c>
      <c r="D75" s="304" t="s">
        <v>2</v>
      </c>
      <c r="E75" s="304" t="s">
        <v>439</v>
      </c>
      <c r="F75" s="304" t="s">
        <v>14</v>
      </c>
      <c r="G75" s="304" t="s">
        <v>30</v>
      </c>
      <c r="H75" s="304">
        <v>1</v>
      </c>
      <c r="I75" s="304">
        <v>1</v>
      </c>
      <c r="J75" s="304" t="s">
        <v>31</v>
      </c>
      <c r="K75" s="304" t="s">
        <v>31</v>
      </c>
      <c r="L75" s="304" t="s">
        <v>31</v>
      </c>
      <c r="M75" s="304" t="s">
        <v>31</v>
      </c>
      <c r="O75" s="305" t="s">
        <v>447</v>
      </c>
      <c r="P75" s="306" t="s">
        <v>448</v>
      </c>
      <c r="Q75" s="306" t="s">
        <v>21</v>
      </c>
      <c r="R75" s="307" t="s">
        <v>449</v>
      </c>
      <c r="T75" s="306" t="s">
        <v>450</v>
      </c>
      <c r="AC75" t="e">
        <f t="shared" si="0"/>
        <v>#VALUE!</v>
      </c>
    </row>
    <row r="76" spans="1:29">
      <c r="A76" s="63" t="s">
        <v>508</v>
      </c>
      <c r="B76">
        <f>R76</f>
        <v>1.0526315789473684</v>
      </c>
      <c r="C76" s="304" t="s">
        <v>18</v>
      </c>
      <c r="D76" t="s">
        <v>2</v>
      </c>
      <c r="E76" t="s">
        <v>439</v>
      </c>
      <c r="F76" t="s">
        <v>58</v>
      </c>
      <c r="G76" t="s">
        <v>33</v>
      </c>
      <c r="H76">
        <v>1</v>
      </c>
      <c r="I76">
        <f>B76</f>
        <v>1.0526315789473684</v>
      </c>
      <c r="J76" t="s">
        <v>31</v>
      </c>
      <c r="K76" t="s">
        <v>31</v>
      </c>
      <c r="O76" s="308">
        <v>1</v>
      </c>
      <c r="P76">
        <v>0.95</v>
      </c>
      <c r="Q76">
        <v>1</v>
      </c>
      <c r="R76" s="309">
        <f>(Q76/P76)*O76</f>
        <v>1.0526315789473684</v>
      </c>
      <c r="T76" s="312">
        <v>0</v>
      </c>
      <c r="U76" t="s">
        <v>509</v>
      </c>
      <c r="AC76">
        <f t="shared" si="0"/>
        <v>0</v>
      </c>
    </row>
    <row r="77" spans="1:29">
      <c r="A77" s="63" t="s">
        <v>510</v>
      </c>
      <c r="B77">
        <f t="shared" ref="B77:B80" si="14">R77</f>
        <v>1.0526315789473684</v>
      </c>
      <c r="C77" s="304" t="s">
        <v>18</v>
      </c>
      <c r="D77" t="s">
        <v>2</v>
      </c>
      <c r="E77" t="s">
        <v>439</v>
      </c>
      <c r="F77" t="s">
        <v>58</v>
      </c>
      <c r="G77" t="s">
        <v>33</v>
      </c>
      <c r="H77">
        <v>1</v>
      </c>
      <c r="I77">
        <f t="shared" ref="I77:I80" si="15">B77</f>
        <v>1.0526315789473684</v>
      </c>
      <c r="J77" t="s">
        <v>31</v>
      </c>
      <c r="K77" t="s">
        <v>31</v>
      </c>
      <c r="O77">
        <v>1</v>
      </c>
      <c r="P77">
        <v>0.95</v>
      </c>
      <c r="Q77">
        <v>1</v>
      </c>
      <c r="R77" s="309">
        <f t="shared" ref="R77:R80" si="16">(Q77/P77)*O77</f>
        <v>1.0526315789473684</v>
      </c>
      <c r="T77" s="312">
        <v>0</v>
      </c>
      <c r="U77" t="s">
        <v>511</v>
      </c>
      <c r="AC77">
        <f t="shared" si="0"/>
        <v>0</v>
      </c>
    </row>
    <row r="78" spans="1:29">
      <c r="A78" s="63" t="s">
        <v>512</v>
      </c>
      <c r="B78">
        <f t="shared" si="14"/>
        <v>1.1111111111111112</v>
      </c>
      <c r="C78" s="304" t="s">
        <v>18</v>
      </c>
      <c r="D78" t="s">
        <v>2</v>
      </c>
      <c r="E78" t="s">
        <v>439</v>
      </c>
      <c r="F78" t="s">
        <v>58</v>
      </c>
      <c r="G78" t="s">
        <v>33</v>
      </c>
      <c r="H78">
        <v>1</v>
      </c>
      <c r="I78">
        <f t="shared" si="15"/>
        <v>1.1111111111111112</v>
      </c>
      <c r="J78" t="s">
        <v>31</v>
      </c>
      <c r="K78" t="s">
        <v>31</v>
      </c>
      <c r="O78">
        <v>1</v>
      </c>
      <c r="P78">
        <v>0.9</v>
      </c>
      <c r="Q78">
        <v>1</v>
      </c>
      <c r="R78" s="309">
        <f t="shared" si="16"/>
        <v>1.1111111111111112</v>
      </c>
      <c r="T78" s="312">
        <v>0</v>
      </c>
      <c r="U78" t="s">
        <v>513</v>
      </c>
      <c r="AC78">
        <f t="shared" si="0"/>
        <v>0</v>
      </c>
    </row>
    <row r="79" spans="1:29">
      <c r="A79" s="63" t="s">
        <v>514</v>
      </c>
      <c r="B79">
        <f t="shared" si="14"/>
        <v>2.1052631578947367</v>
      </c>
      <c r="C79" s="304" t="s">
        <v>18</v>
      </c>
      <c r="D79" t="s">
        <v>2</v>
      </c>
      <c r="E79" t="s">
        <v>439</v>
      </c>
      <c r="F79" t="s">
        <v>58</v>
      </c>
      <c r="G79" t="s">
        <v>33</v>
      </c>
      <c r="H79">
        <v>1</v>
      </c>
      <c r="I79">
        <f t="shared" si="15"/>
        <v>2.1052631578947367</v>
      </c>
      <c r="J79" t="s">
        <v>31</v>
      </c>
      <c r="K79" t="s">
        <v>31</v>
      </c>
      <c r="O79">
        <v>1</v>
      </c>
      <c r="P79">
        <v>0.95</v>
      </c>
      <c r="Q79">
        <v>2</v>
      </c>
      <c r="R79" s="309">
        <f t="shared" si="16"/>
        <v>2.1052631578947367</v>
      </c>
      <c r="T79" s="312">
        <v>0</v>
      </c>
      <c r="U79" t="s">
        <v>515</v>
      </c>
      <c r="AC79">
        <f t="shared" si="0"/>
        <v>0</v>
      </c>
    </row>
    <row r="80" spans="1:29">
      <c r="A80" s="63" t="s">
        <v>516</v>
      </c>
      <c r="B80">
        <f t="shared" si="14"/>
        <v>1.0526315789473684</v>
      </c>
      <c r="C80" s="304" t="s">
        <v>18</v>
      </c>
      <c r="D80" t="s">
        <v>2</v>
      </c>
      <c r="E80" t="s">
        <v>439</v>
      </c>
      <c r="F80" t="s">
        <v>58</v>
      </c>
      <c r="G80" t="s">
        <v>33</v>
      </c>
      <c r="H80">
        <v>5</v>
      </c>
      <c r="I80">
        <f t="shared" si="15"/>
        <v>1.0526315789473684</v>
      </c>
      <c r="J80" t="s">
        <v>31</v>
      </c>
      <c r="K80" t="s">
        <v>31</v>
      </c>
      <c r="L80">
        <f>0</f>
        <v>0</v>
      </c>
      <c r="M80">
        <f>2*B80</f>
        <v>2.1052631578947367</v>
      </c>
      <c r="O80">
        <v>1</v>
      </c>
      <c r="P80">
        <v>0.95</v>
      </c>
      <c r="Q80">
        <v>1</v>
      </c>
      <c r="R80" s="309">
        <f t="shared" si="16"/>
        <v>1.0526315789473684</v>
      </c>
      <c r="T80" s="313" t="s">
        <v>452</v>
      </c>
      <c r="U80" t="s">
        <v>517</v>
      </c>
      <c r="AC80">
        <f t="shared" si="0"/>
        <v>2.1052631578947367</v>
      </c>
    </row>
    <row r="81" spans="1:29" s="41" customFormat="1">
      <c r="A81" s="300" t="s">
        <v>5</v>
      </c>
      <c r="B81" s="108" t="str">
        <f>A91</f>
        <v>Production of PEMFC_anode catalyst layer</v>
      </c>
      <c r="C81" s="39"/>
      <c r="AC81">
        <f t="shared" si="0"/>
        <v>0</v>
      </c>
    </row>
    <row r="82" spans="1:29">
      <c r="A82" s="101" t="s">
        <v>7</v>
      </c>
      <c r="B82" t="s">
        <v>439</v>
      </c>
      <c r="C82" s="102"/>
      <c r="AC82">
        <f t="shared" si="0"/>
        <v>0</v>
      </c>
    </row>
    <row r="83" spans="1:29">
      <c r="A83" s="101" t="s">
        <v>9</v>
      </c>
      <c r="B83" s="301" t="s">
        <v>518</v>
      </c>
      <c r="C83" s="102"/>
      <c r="AC83">
        <f t="shared" si="0"/>
        <v>0</v>
      </c>
    </row>
    <row r="84" spans="1:29" ht="50.25" customHeight="1">
      <c r="A84" s="101" t="s">
        <v>11</v>
      </c>
      <c r="B84" s="311" t="s">
        <v>519</v>
      </c>
      <c r="AC84">
        <f t="shared" si="0"/>
        <v>0</v>
      </c>
    </row>
    <row r="85" spans="1:29">
      <c r="A85" s="101" t="s">
        <v>13</v>
      </c>
      <c r="B85" t="s">
        <v>58</v>
      </c>
      <c r="AC85">
        <f t="shared" si="0"/>
        <v>0</v>
      </c>
    </row>
    <row r="86" spans="1:29">
      <c r="A86" s="101" t="s">
        <v>15</v>
      </c>
      <c r="B86">
        <f>B91</f>
        <v>1</v>
      </c>
      <c r="AC86">
        <f t="shared" si="0"/>
        <v>0</v>
      </c>
    </row>
    <row r="87" spans="1:29">
      <c r="A87" s="101" t="s">
        <v>16</v>
      </c>
      <c r="B87" t="s">
        <v>17</v>
      </c>
      <c r="AC87">
        <f t="shared" si="0"/>
        <v>0</v>
      </c>
    </row>
    <row r="88" spans="1:29">
      <c r="A88" s="101" t="s">
        <v>18</v>
      </c>
      <c r="B88" t="str">
        <f>C91</f>
        <v>unit</v>
      </c>
      <c r="AC88">
        <f t="shared" si="0"/>
        <v>0</v>
      </c>
    </row>
    <row r="89" spans="1:29">
      <c r="A89" s="302" t="s">
        <v>19</v>
      </c>
      <c r="AC89">
        <f t="shared" ref="AC89:AC152" si="17">M89-L89</f>
        <v>0</v>
      </c>
    </row>
    <row r="90" spans="1:29">
      <c r="A90" s="302" t="s">
        <v>20</v>
      </c>
      <c r="B90" s="159" t="s">
        <v>21</v>
      </c>
      <c r="C90" s="159" t="s">
        <v>18</v>
      </c>
      <c r="D90" s="159" t="s">
        <v>22</v>
      </c>
      <c r="E90" s="159" t="s">
        <v>7</v>
      </c>
      <c r="F90" s="159" t="s">
        <v>13</v>
      </c>
      <c r="G90" s="159" t="s">
        <v>16</v>
      </c>
      <c r="H90" s="159" t="s">
        <v>23</v>
      </c>
      <c r="I90" s="159" t="s">
        <v>24</v>
      </c>
      <c r="J90" s="159" t="s">
        <v>25</v>
      </c>
      <c r="K90" s="159" t="s">
        <v>26</v>
      </c>
      <c r="L90" s="159" t="s">
        <v>27</v>
      </c>
      <c r="M90" s="159" t="s">
        <v>28</v>
      </c>
      <c r="AC90" t="e">
        <f t="shared" si="17"/>
        <v>#VALUE!</v>
      </c>
    </row>
    <row r="91" spans="1:29" s="304" customFormat="1">
      <c r="A91" s="303" t="str">
        <f>A76</f>
        <v>Production of PEMFC_anode catalyst layer</v>
      </c>
      <c r="B91" s="304">
        <v>1</v>
      </c>
      <c r="C91" s="304" t="s">
        <v>18</v>
      </c>
      <c r="D91" s="304" t="s">
        <v>2</v>
      </c>
      <c r="E91" s="304" t="s">
        <v>439</v>
      </c>
      <c r="F91" s="304" t="s">
        <v>58</v>
      </c>
      <c r="G91" s="304" t="s">
        <v>30</v>
      </c>
      <c r="H91" s="304">
        <v>1</v>
      </c>
      <c r="I91" s="304">
        <v>1</v>
      </c>
      <c r="J91" s="304" t="s">
        <v>31</v>
      </c>
      <c r="K91" s="304" t="s">
        <v>31</v>
      </c>
      <c r="L91" s="304" t="s">
        <v>31</v>
      </c>
      <c r="M91" s="304" t="s">
        <v>31</v>
      </c>
      <c r="O91" s="305" t="s">
        <v>447</v>
      </c>
      <c r="P91" s="306" t="s">
        <v>448</v>
      </c>
      <c r="Q91" s="306" t="s">
        <v>21</v>
      </c>
      <c r="R91" s="307" t="s">
        <v>449</v>
      </c>
      <c r="T91" s="306" t="s">
        <v>450</v>
      </c>
      <c r="W91" s="304" t="s">
        <v>520</v>
      </c>
      <c r="AC91" t="e">
        <f t="shared" si="17"/>
        <v>#VALUE!</v>
      </c>
    </row>
    <row r="92" spans="1:29">
      <c r="A92" s="47" t="s">
        <v>521</v>
      </c>
      <c r="B92">
        <f>R92</f>
        <v>1.0526315789473683E-5</v>
      </c>
      <c r="C92" t="s">
        <v>37</v>
      </c>
      <c r="D92" t="s">
        <v>40</v>
      </c>
      <c r="E92" s="304" t="s">
        <v>439</v>
      </c>
      <c r="F92" t="s">
        <v>58</v>
      </c>
      <c r="G92" t="s">
        <v>33</v>
      </c>
      <c r="H92">
        <v>5</v>
      </c>
      <c r="I92">
        <f>B92</f>
        <v>1.0526315789473683E-5</v>
      </c>
      <c r="J92" s="304" t="s">
        <v>31</v>
      </c>
      <c r="K92" s="304" t="s">
        <v>31</v>
      </c>
      <c r="L92">
        <f>0</f>
        <v>0</v>
      </c>
      <c r="M92">
        <f>2*B92</f>
        <v>2.1052631578947366E-5</v>
      </c>
      <c r="O92">
        <f>2/3</f>
        <v>0.66666666666666663</v>
      </c>
      <c r="P92">
        <v>0.95</v>
      </c>
      <c r="Q92">
        <f>Y92</f>
        <v>1.4999999999999999E-5</v>
      </c>
      <c r="R92" s="309">
        <f>(Q92/P92)*O92</f>
        <v>1.0526315789473683E-5</v>
      </c>
      <c r="S92" s="304"/>
      <c r="T92" t="s">
        <v>522</v>
      </c>
      <c r="W92">
        <v>15</v>
      </c>
      <c r="X92" t="s">
        <v>523</v>
      </c>
      <c r="Y92">
        <f>10^(-6)*W92</f>
        <v>1.4999999999999999E-5</v>
      </c>
      <c r="Z92" t="s">
        <v>221</v>
      </c>
      <c r="AC92">
        <f t="shared" si="17"/>
        <v>2.1052631578947366E-5</v>
      </c>
    </row>
    <row r="93" spans="1:29">
      <c r="A93" s="24" t="s">
        <v>524</v>
      </c>
      <c r="B93">
        <f t="shared" ref="B93:B96" si="18">R93</f>
        <v>1.0526315789473683E-5</v>
      </c>
      <c r="C93" s="304" t="s">
        <v>18</v>
      </c>
      <c r="D93" t="s">
        <v>2</v>
      </c>
      <c r="E93" s="304" t="s">
        <v>439</v>
      </c>
      <c r="F93" t="s">
        <v>58</v>
      </c>
      <c r="G93" t="s">
        <v>33</v>
      </c>
      <c r="H93">
        <v>5</v>
      </c>
      <c r="I93">
        <f t="shared" ref="I93:I99" si="19">B93</f>
        <v>1.0526315789473683E-5</v>
      </c>
      <c r="J93" s="304" t="s">
        <v>31</v>
      </c>
      <c r="K93" s="304" t="s">
        <v>31</v>
      </c>
      <c r="L93">
        <f>0</f>
        <v>0</v>
      </c>
      <c r="M93">
        <f t="shared" ref="M93:M95" si="20">2*B93</f>
        <v>2.1052631578947366E-5</v>
      </c>
      <c r="O93">
        <f>2/3</f>
        <v>0.66666666666666663</v>
      </c>
      <c r="P93">
        <v>0.95</v>
      </c>
      <c r="Q93">
        <f t="shared" ref="Q93:Q97" si="21">Y93</f>
        <v>1.4999999999999999E-5</v>
      </c>
      <c r="R93" s="309">
        <f t="shared" ref="R93:R97" si="22">(Q93/P93)*O93</f>
        <v>1.0526315789473683E-5</v>
      </c>
      <c r="T93" t="s">
        <v>522</v>
      </c>
      <c r="U93" t="s">
        <v>525</v>
      </c>
      <c r="W93">
        <v>15</v>
      </c>
      <c r="X93" t="s">
        <v>523</v>
      </c>
      <c r="Y93">
        <f t="shared" ref="Y93:Y95" si="23">10^(-6)*W93</f>
        <v>1.4999999999999999E-5</v>
      </c>
      <c r="Z93" t="s">
        <v>221</v>
      </c>
      <c r="AC93">
        <f t="shared" si="17"/>
        <v>2.1052631578947366E-5</v>
      </c>
    </row>
    <row r="94" spans="1:29">
      <c r="A94" s="47" t="s">
        <v>526</v>
      </c>
      <c r="B94">
        <f t="shared" si="18"/>
        <v>1.0526315789473685E-6</v>
      </c>
      <c r="C94" t="s">
        <v>37</v>
      </c>
      <c r="D94" t="s">
        <v>40</v>
      </c>
      <c r="E94" s="304" t="s">
        <v>439</v>
      </c>
      <c r="F94" t="s">
        <v>58</v>
      </c>
      <c r="G94" t="s">
        <v>33</v>
      </c>
      <c r="H94">
        <v>5</v>
      </c>
      <c r="I94">
        <f t="shared" si="19"/>
        <v>1.0526315789473685E-6</v>
      </c>
      <c r="J94" s="304" t="s">
        <v>31</v>
      </c>
      <c r="K94" s="304" t="s">
        <v>31</v>
      </c>
      <c r="L94">
        <f>0</f>
        <v>0</v>
      </c>
      <c r="M94">
        <f t="shared" si="20"/>
        <v>2.1052631578947371E-6</v>
      </c>
      <c r="N94" t="s">
        <v>527</v>
      </c>
      <c r="O94">
        <f>2/3</f>
        <v>0.66666666666666663</v>
      </c>
      <c r="P94">
        <v>0.95</v>
      </c>
      <c r="Q94">
        <f t="shared" si="21"/>
        <v>1.5E-6</v>
      </c>
      <c r="R94" s="309">
        <f t="shared" si="22"/>
        <v>1.0526315789473685E-6</v>
      </c>
      <c r="T94" t="s">
        <v>522</v>
      </c>
      <c r="W94">
        <v>1.5</v>
      </c>
      <c r="X94" t="s">
        <v>523</v>
      </c>
      <c r="Y94">
        <f t="shared" si="23"/>
        <v>1.5E-6</v>
      </c>
      <c r="Z94" t="s">
        <v>221</v>
      </c>
      <c r="AC94">
        <f t="shared" si="17"/>
        <v>2.1052631578947371E-6</v>
      </c>
    </row>
    <row r="95" spans="1:29">
      <c r="A95" s="63" t="s">
        <v>528</v>
      </c>
      <c r="B95">
        <f t="shared" si="18"/>
        <v>6.3157894736842112E-6</v>
      </c>
      <c r="C95" s="304" t="s">
        <v>18</v>
      </c>
      <c r="D95" t="s">
        <v>2</v>
      </c>
      <c r="E95" s="304" t="s">
        <v>439</v>
      </c>
      <c r="F95" t="s">
        <v>58</v>
      </c>
      <c r="G95" t="s">
        <v>33</v>
      </c>
      <c r="H95">
        <v>5</v>
      </c>
      <c r="I95">
        <f t="shared" si="19"/>
        <v>6.3157894736842112E-6</v>
      </c>
      <c r="J95" s="304" t="s">
        <v>31</v>
      </c>
      <c r="K95" s="304" t="s">
        <v>31</v>
      </c>
      <c r="L95">
        <f>0</f>
        <v>0</v>
      </c>
      <c r="M95">
        <f t="shared" si="20"/>
        <v>1.2631578947368422E-5</v>
      </c>
      <c r="O95">
        <v>1</v>
      </c>
      <c r="P95">
        <v>0.95</v>
      </c>
      <c r="Q95">
        <f t="shared" si="21"/>
        <v>6.0000000000000002E-6</v>
      </c>
      <c r="R95" s="309">
        <f t="shared" si="22"/>
        <v>6.3157894736842112E-6</v>
      </c>
      <c r="T95" t="s">
        <v>522</v>
      </c>
      <c r="U95" t="s">
        <v>529</v>
      </c>
      <c r="W95">
        <v>6</v>
      </c>
      <c r="X95" t="s">
        <v>523</v>
      </c>
      <c r="Y95">
        <f t="shared" si="23"/>
        <v>6.0000000000000002E-6</v>
      </c>
      <c r="Z95" t="s">
        <v>221</v>
      </c>
      <c r="AC95">
        <f t="shared" si="17"/>
        <v>1.2631578947368422E-5</v>
      </c>
    </row>
    <row r="96" spans="1:29">
      <c r="A96" s="63" t="s">
        <v>530</v>
      </c>
      <c r="B96">
        <f t="shared" si="18"/>
        <v>2.0775623268698063E-5</v>
      </c>
      <c r="C96" t="s">
        <v>37</v>
      </c>
      <c r="D96" t="s">
        <v>40</v>
      </c>
      <c r="E96" s="304" t="s">
        <v>439</v>
      </c>
      <c r="F96" t="s">
        <v>128</v>
      </c>
      <c r="G96" t="s">
        <v>33</v>
      </c>
      <c r="H96">
        <v>5</v>
      </c>
      <c r="I96">
        <f t="shared" si="19"/>
        <v>2.0775623268698063E-5</v>
      </c>
      <c r="J96" s="304" t="s">
        <v>31</v>
      </c>
      <c r="K96" s="304" t="s">
        <v>31</v>
      </c>
      <c r="L96">
        <f>0.5*B96</f>
        <v>1.0387811634349031E-5</v>
      </c>
      <c r="M96">
        <f>1.5*B96</f>
        <v>3.1163434903047094E-5</v>
      </c>
      <c r="N96" t="s">
        <v>531</v>
      </c>
      <c r="O96">
        <v>1</v>
      </c>
      <c r="P96">
        <v>0.95</v>
      </c>
      <c r="Q96">
        <f t="shared" si="21"/>
        <v>1.9736842105263158E-5</v>
      </c>
      <c r="R96" s="309">
        <f t="shared" si="22"/>
        <v>2.0775623268698063E-5</v>
      </c>
      <c r="T96" t="s">
        <v>532</v>
      </c>
      <c r="W96">
        <v>0.19736842105263158</v>
      </c>
      <c r="X96" t="s">
        <v>533</v>
      </c>
      <c r="Y96">
        <f>W96*100*10^(-6)</f>
        <v>1.9736842105263158E-5</v>
      </c>
      <c r="Z96" t="s">
        <v>221</v>
      </c>
      <c r="AC96">
        <f t="shared" si="17"/>
        <v>2.0775623268698063E-5</v>
      </c>
    </row>
    <row r="97" spans="1:29">
      <c r="A97" t="s">
        <v>79</v>
      </c>
      <c r="B97">
        <f>R97</f>
        <v>1.969282894736842E-4</v>
      </c>
      <c r="C97" t="s">
        <v>37</v>
      </c>
      <c r="D97" t="s">
        <v>40</v>
      </c>
      <c r="E97" s="304" t="s">
        <v>439</v>
      </c>
      <c r="F97" t="s">
        <v>58</v>
      </c>
      <c r="G97" t="s">
        <v>33</v>
      </c>
      <c r="H97">
        <v>5</v>
      </c>
      <c r="I97">
        <f t="shared" si="19"/>
        <v>1.969282894736842E-4</v>
      </c>
      <c r="J97" s="304" t="s">
        <v>31</v>
      </c>
      <c r="K97" s="304" t="s">
        <v>31</v>
      </c>
      <c r="L97">
        <f>0.5*B97</f>
        <v>9.8464144736842098E-5</v>
      </c>
      <c r="M97">
        <f>1.5*B97</f>
        <v>2.9539243421052627E-4</v>
      </c>
      <c r="O97">
        <v>1</v>
      </c>
      <c r="P97">
        <v>1</v>
      </c>
      <c r="Q97">
        <f t="shared" si="21"/>
        <v>1.969282894736842E-4</v>
      </c>
      <c r="R97" s="309">
        <f t="shared" si="22"/>
        <v>1.969282894736842E-4</v>
      </c>
      <c r="T97" t="s">
        <v>532</v>
      </c>
      <c r="W97">
        <v>0.19736842105263158</v>
      </c>
      <c r="X97" t="s">
        <v>533</v>
      </c>
      <c r="Y97">
        <f>W97*10^(-6)*997.77</f>
        <v>1.969282894736842E-4</v>
      </c>
      <c r="Z97" t="s">
        <v>221</v>
      </c>
      <c r="AA97" s="315" t="s">
        <v>534</v>
      </c>
      <c r="AC97">
        <f t="shared" si="17"/>
        <v>1.9692828947368417E-4</v>
      </c>
    </row>
    <row r="98" spans="1:29" s="317" customFormat="1">
      <c r="A98" s="316" t="s">
        <v>530</v>
      </c>
      <c r="B98" s="317">
        <f>0.2*B96+(R96-Q96)</f>
        <v>5.1939058171745173E-6</v>
      </c>
      <c r="C98" s="317" t="s">
        <v>37</v>
      </c>
      <c r="D98" s="317" t="s">
        <v>40</v>
      </c>
      <c r="E98" s="317" t="s">
        <v>439</v>
      </c>
      <c r="F98" s="317" t="s">
        <v>128</v>
      </c>
      <c r="G98" s="317" t="s">
        <v>243</v>
      </c>
      <c r="H98" s="317">
        <v>5</v>
      </c>
      <c r="I98" s="317">
        <f t="shared" si="19"/>
        <v>5.1939058171745173E-6</v>
      </c>
      <c r="J98" s="317" t="s">
        <v>31</v>
      </c>
      <c r="K98" s="317" t="s">
        <v>31</v>
      </c>
      <c r="L98" s="317">
        <f>0.5*B98</f>
        <v>2.5969529085872587E-6</v>
      </c>
      <c r="M98" s="317">
        <f>1.5*B98</f>
        <v>7.7908587257617752E-6</v>
      </c>
      <c r="N98" s="317" t="s">
        <v>535</v>
      </c>
      <c r="O98" s="317" t="s">
        <v>202</v>
      </c>
      <c r="P98" s="317" t="s">
        <v>202</v>
      </c>
      <c r="Q98" s="317" t="s">
        <v>202</v>
      </c>
      <c r="R98" s="318" t="s">
        <v>202</v>
      </c>
      <c r="T98" s="317" t="s">
        <v>532</v>
      </c>
      <c r="W98" s="317">
        <v>0.19736842105263158</v>
      </c>
      <c r="X98" s="317" t="s">
        <v>533</v>
      </c>
      <c r="Y98" s="317">
        <f>W98*100*10^(-6)</f>
        <v>1.9736842105263158E-5</v>
      </c>
      <c r="Z98" s="317" t="s">
        <v>221</v>
      </c>
      <c r="AC98">
        <f t="shared" si="17"/>
        <v>5.1939058171745165E-6</v>
      </c>
    </row>
    <row r="99" spans="1:29">
      <c r="A99" s="319" t="s">
        <v>526</v>
      </c>
      <c r="B99" s="317">
        <f>0.05*R94</f>
        <v>5.2631578947368429E-8</v>
      </c>
      <c r="C99" s="317" t="s">
        <v>37</v>
      </c>
      <c r="D99" s="317" t="s">
        <v>40</v>
      </c>
      <c r="E99" s="317" t="s">
        <v>439</v>
      </c>
      <c r="F99" s="317" t="s">
        <v>58</v>
      </c>
      <c r="G99" s="317" t="s">
        <v>243</v>
      </c>
      <c r="H99" s="317">
        <v>5</v>
      </c>
      <c r="I99" s="317">
        <f t="shared" si="19"/>
        <v>5.2631578947368429E-8</v>
      </c>
      <c r="J99" s="317" t="s">
        <v>31</v>
      </c>
      <c r="K99" s="317" t="s">
        <v>31</v>
      </c>
      <c r="L99" s="317">
        <f>0</f>
        <v>0</v>
      </c>
      <c r="M99" s="317">
        <f t="shared" ref="M99" si="24">2*B99</f>
        <v>1.0526315789473686E-7</v>
      </c>
      <c r="N99" s="317" t="s">
        <v>536</v>
      </c>
      <c r="O99" s="317" t="s">
        <v>202</v>
      </c>
      <c r="P99" s="317" t="s">
        <v>202</v>
      </c>
      <c r="Q99" s="317" t="s">
        <v>202</v>
      </c>
      <c r="R99" s="318" t="s">
        <v>202</v>
      </c>
      <c r="T99" t="s">
        <v>522</v>
      </c>
      <c r="W99">
        <v>1.5</v>
      </c>
      <c r="X99" t="s">
        <v>523</v>
      </c>
      <c r="Y99">
        <f t="shared" ref="Y99" si="25">10^(-6)*W99</f>
        <v>1.5E-6</v>
      </c>
      <c r="Z99" t="s">
        <v>221</v>
      </c>
      <c r="AC99">
        <f t="shared" si="17"/>
        <v>1.0526315789473686E-7</v>
      </c>
    </row>
    <row r="100" spans="1:29">
      <c r="A100" s="319" t="s">
        <v>521</v>
      </c>
      <c r="B100" s="317">
        <f>R92*0.05</f>
        <v>5.2631578947368416E-7</v>
      </c>
      <c r="C100" s="317" t="s">
        <v>37</v>
      </c>
      <c r="D100" s="317" t="s">
        <v>40</v>
      </c>
      <c r="E100" s="317" t="s">
        <v>439</v>
      </c>
      <c r="F100" s="317" t="s">
        <v>58</v>
      </c>
      <c r="G100" s="317" t="s">
        <v>243</v>
      </c>
      <c r="H100" s="317">
        <v>5</v>
      </c>
      <c r="I100" s="317">
        <f>B100</f>
        <v>5.2631578947368416E-7</v>
      </c>
      <c r="J100" s="317" t="s">
        <v>31</v>
      </c>
      <c r="K100" s="317" t="s">
        <v>31</v>
      </c>
      <c r="L100" s="317">
        <f>0</f>
        <v>0</v>
      </c>
      <c r="M100" s="317">
        <f>2*B100</f>
        <v>1.0526315789473683E-6</v>
      </c>
      <c r="N100" s="317" t="s">
        <v>536</v>
      </c>
      <c r="O100" s="317" t="s">
        <v>202</v>
      </c>
      <c r="P100" s="317" t="s">
        <v>202</v>
      </c>
      <c r="Q100" s="317" t="s">
        <v>202</v>
      </c>
      <c r="R100" s="318" t="s">
        <v>202</v>
      </c>
      <c r="AC100">
        <f t="shared" si="17"/>
        <v>1.0526315789473683E-6</v>
      </c>
    </row>
    <row r="101" spans="1:29" s="41" customFormat="1">
      <c r="A101" s="300" t="s">
        <v>5</v>
      </c>
      <c r="B101" s="108" t="str">
        <f>A111</f>
        <v>Production of Carbon nanotubes, carbon black</v>
      </c>
      <c r="C101" s="39"/>
      <c r="AC101">
        <f t="shared" si="17"/>
        <v>0</v>
      </c>
    </row>
    <row r="102" spans="1:29">
      <c r="A102" s="101" t="s">
        <v>7</v>
      </c>
      <c r="B102" t="s">
        <v>439</v>
      </c>
      <c r="C102" s="102"/>
      <c r="AC102">
        <f t="shared" si="17"/>
        <v>0</v>
      </c>
    </row>
    <row r="103" spans="1:29">
      <c r="A103" s="101" t="s">
        <v>9</v>
      </c>
      <c r="B103" s="301" t="s">
        <v>537</v>
      </c>
      <c r="C103" s="102"/>
      <c r="AC103">
        <f t="shared" si="17"/>
        <v>0</v>
      </c>
    </row>
    <row r="104" spans="1:29" ht="50.25" customHeight="1">
      <c r="A104" s="101" t="s">
        <v>11</v>
      </c>
      <c r="B104" s="311" t="s">
        <v>538</v>
      </c>
      <c r="AC104">
        <f t="shared" si="17"/>
        <v>0</v>
      </c>
    </row>
    <row r="105" spans="1:29">
      <c r="A105" s="101" t="s">
        <v>13</v>
      </c>
      <c r="B105" t="s">
        <v>58</v>
      </c>
      <c r="AC105">
        <f t="shared" si="17"/>
        <v>0</v>
      </c>
    </row>
    <row r="106" spans="1:29">
      <c r="A106" s="101" t="s">
        <v>15</v>
      </c>
      <c r="B106">
        <f>B111</f>
        <v>1</v>
      </c>
      <c r="AC106">
        <f t="shared" si="17"/>
        <v>0</v>
      </c>
    </row>
    <row r="107" spans="1:29">
      <c r="A107" s="101" t="s">
        <v>16</v>
      </c>
      <c r="B107" t="s">
        <v>17</v>
      </c>
      <c r="AC107">
        <f t="shared" si="17"/>
        <v>0</v>
      </c>
    </row>
    <row r="108" spans="1:29">
      <c r="A108" s="101" t="s">
        <v>18</v>
      </c>
      <c r="B108" t="s">
        <v>18</v>
      </c>
      <c r="AC108">
        <f t="shared" si="17"/>
        <v>0</v>
      </c>
    </row>
    <row r="109" spans="1:29">
      <c r="A109" s="302" t="s">
        <v>19</v>
      </c>
      <c r="AC109">
        <f t="shared" si="17"/>
        <v>0</v>
      </c>
    </row>
    <row r="110" spans="1:29">
      <c r="A110" s="302" t="s">
        <v>20</v>
      </c>
      <c r="B110" s="159" t="s">
        <v>21</v>
      </c>
      <c r="C110" s="159" t="s">
        <v>18</v>
      </c>
      <c r="D110" s="159" t="s">
        <v>22</v>
      </c>
      <c r="E110" s="159" t="s">
        <v>7</v>
      </c>
      <c r="F110" s="159" t="s">
        <v>13</v>
      </c>
      <c r="G110" s="159" t="s">
        <v>16</v>
      </c>
      <c r="H110" s="159" t="s">
        <v>23</v>
      </c>
      <c r="I110" s="159" t="s">
        <v>24</v>
      </c>
      <c r="J110" s="159" t="s">
        <v>25</v>
      </c>
      <c r="K110" s="159" t="s">
        <v>26</v>
      </c>
      <c r="L110" s="159" t="s">
        <v>27</v>
      </c>
      <c r="M110" s="159" t="s">
        <v>28</v>
      </c>
      <c r="AC110" t="e">
        <f t="shared" si="17"/>
        <v>#VALUE!</v>
      </c>
    </row>
    <row r="111" spans="1:29" s="304" customFormat="1">
      <c r="A111" s="303" t="str">
        <f>A93</f>
        <v>Production of Carbon nanotubes, carbon black</v>
      </c>
      <c r="B111" s="304">
        <v>1</v>
      </c>
      <c r="C111" s="104" t="s">
        <v>18</v>
      </c>
      <c r="D111" s="304" t="s">
        <v>2</v>
      </c>
      <c r="E111" s="304" t="s">
        <v>439</v>
      </c>
      <c r="F111" s="304" t="s">
        <v>58</v>
      </c>
      <c r="G111" s="304" t="s">
        <v>30</v>
      </c>
      <c r="H111" s="304">
        <v>1</v>
      </c>
      <c r="I111" s="304">
        <v>1</v>
      </c>
      <c r="J111" s="304" t="s">
        <v>31</v>
      </c>
      <c r="K111" s="304" t="s">
        <v>31</v>
      </c>
      <c r="L111" s="304" t="s">
        <v>31</v>
      </c>
      <c r="M111" s="304" t="s">
        <v>31</v>
      </c>
      <c r="O111" s="305" t="s">
        <v>447</v>
      </c>
      <c r="P111" s="306" t="s">
        <v>448</v>
      </c>
      <c r="Q111" s="306" t="s">
        <v>21</v>
      </c>
      <c r="R111" s="307" t="s">
        <v>449</v>
      </c>
      <c r="T111" s="306" t="s">
        <v>450</v>
      </c>
      <c r="W111" s="304" t="s">
        <v>520</v>
      </c>
      <c r="AC111" t="e">
        <f t="shared" si="17"/>
        <v>#VALUE!</v>
      </c>
    </row>
    <row r="112" spans="1:29">
      <c r="A112" t="s">
        <v>539</v>
      </c>
      <c r="B112" s="219">
        <v>3.193E-2</v>
      </c>
      <c r="C112" s="104" t="s">
        <v>37</v>
      </c>
      <c r="D112" t="s">
        <v>40</v>
      </c>
      <c r="E112" t="s">
        <v>439</v>
      </c>
      <c r="F112" t="s">
        <v>58</v>
      </c>
      <c r="G112" t="s">
        <v>33</v>
      </c>
      <c r="H112">
        <v>2</v>
      </c>
      <c r="I112">
        <f>LN(B112)</f>
        <v>-3.4442092722554465</v>
      </c>
      <c r="J112">
        <v>3.0000000000000079E-2</v>
      </c>
      <c r="K112" t="s">
        <v>31</v>
      </c>
      <c r="L112" t="s">
        <v>31</v>
      </c>
      <c r="M112" t="s">
        <v>31</v>
      </c>
      <c r="O112" t="s">
        <v>540</v>
      </c>
      <c r="AC112" t="e">
        <f t="shared" si="17"/>
        <v>#VALUE!</v>
      </c>
    </row>
    <row r="113" spans="1:29">
      <c r="A113" t="s">
        <v>541</v>
      </c>
      <c r="B113" s="219">
        <v>2.1800000000000001E-3</v>
      </c>
      <c r="C113" s="104" t="s">
        <v>37</v>
      </c>
      <c r="D113" t="s">
        <v>40</v>
      </c>
      <c r="E113" t="s">
        <v>439</v>
      </c>
      <c r="F113" t="s">
        <v>58</v>
      </c>
      <c r="G113" t="s">
        <v>33</v>
      </c>
      <c r="H113">
        <v>2</v>
      </c>
      <c r="I113">
        <f t="shared" ref="I113:I126" si="26">LN(B113)</f>
        <v>-6.1284304021811398</v>
      </c>
      <c r="J113">
        <v>3.0000000000000079E-2</v>
      </c>
      <c r="K113" t="s">
        <v>31</v>
      </c>
      <c r="L113" t="s">
        <v>31</v>
      </c>
      <c r="M113" t="s">
        <v>31</v>
      </c>
      <c r="O113" t="s">
        <v>540</v>
      </c>
      <c r="AC113" t="e">
        <f t="shared" si="17"/>
        <v>#VALUE!</v>
      </c>
    </row>
    <row r="114" spans="1:29">
      <c r="A114" s="47" t="s">
        <v>542</v>
      </c>
      <c r="B114" s="219">
        <v>6.5500000000000003E-3</v>
      </c>
      <c r="C114" s="104" t="s">
        <v>37</v>
      </c>
      <c r="D114" t="s">
        <v>40</v>
      </c>
      <c r="E114" t="s">
        <v>439</v>
      </c>
      <c r="F114" t="s">
        <v>128</v>
      </c>
      <c r="G114" t="s">
        <v>33</v>
      </c>
      <c r="H114">
        <v>2</v>
      </c>
      <c r="I114">
        <f t="shared" si="26"/>
        <v>-5.028290229334976</v>
      </c>
      <c r="J114">
        <v>3.0000000000000079E-2</v>
      </c>
      <c r="K114" t="s">
        <v>31</v>
      </c>
      <c r="L114" t="s">
        <v>31</v>
      </c>
      <c r="M114" t="s">
        <v>31</v>
      </c>
      <c r="O114" t="s">
        <v>540</v>
      </c>
      <c r="AC114" t="e">
        <f t="shared" si="17"/>
        <v>#VALUE!</v>
      </c>
    </row>
    <row r="115" spans="1:29">
      <c r="A115" s="47" t="s">
        <v>543</v>
      </c>
      <c r="B115" s="320">
        <v>5.8336100000000002</v>
      </c>
      <c r="C115" s="104" t="s">
        <v>37</v>
      </c>
      <c r="D115" t="s">
        <v>40</v>
      </c>
      <c r="E115" t="s">
        <v>439</v>
      </c>
      <c r="F115" t="s">
        <v>128</v>
      </c>
      <c r="G115" t="s">
        <v>33</v>
      </c>
      <c r="H115">
        <v>2</v>
      </c>
      <c r="I115">
        <f t="shared" si="26"/>
        <v>1.7636360197080883</v>
      </c>
      <c r="J115">
        <v>3.0000000000000079E-2</v>
      </c>
      <c r="K115" t="s">
        <v>31</v>
      </c>
      <c r="L115" t="s">
        <v>31</v>
      </c>
      <c r="M115" t="s">
        <v>31</v>
      </c>
      <c r="O115" t="s">
        <v>540</v>
      </c>
      <c r="AC115" t="e">
        <f t="shared" si="17"/>
        <v>#VALUE!</v>
      </c>
    </row>
    <row r="116" spans="1:29">
      <c r="A116" t="s">
        <v>544</v>
      </c>
      <c r="B116" s="320">
        <v>5.6340000000000001E-2</v>
      </c>
      <c r="C116" s="104" t="s">
        <v>37</v>
      </c>
      <c r="D116" t="s">
        <v>40</v>
      </c>
      <c r="E116" t="s">
        <v>439</v>
      </c>
      <c r="F116" t="s">
        <v>58</v>
      </c>
      <c r="G116" t="s">
        <v>33</v>
      </c>
      <c r="H116">
        <v>2</v>
      </c>
      <c r="I116">
        <f t="shared" si="26"/>
        <v>-2.8763505165339103</v>
      </c>
      <c r="J116">
        <v>3.0000000000000079E-2</v>
      </c>
      <c r="K116" t="s">
        <v>31</v>
      </c>
      <c r="L116" t="s">
        <v>31</v>
      </c>
      <c r="M116" t="s">
        <v>31</v>
      </c>
      <c r="O116" t="s">
        <v>540</v>
      </c>
      <c r="AC116" t="e">
        <f t="shared" si="17"/>
        <v>#VALUE!</v>
      </c>
    </row>
    <row r="117" spans="1:29">
      <c r="A117" s="47" t="s">
        <v>545</v>
      </c>
      <c r="B117" s="320">
        <v>3.193E-2</v>
      </c>
      <c r="C117" s="104" t="s">
        <v>37</v>
      </c>
      <c r="D117" t="s">
        <v>40</v>
      </c>
      <c r="E117" t="s">
        <v>439</v>
      </c>
      <c r="F117" t="s">
        <v>58</v>
      </c>
      <c r="G117" t="s">
        <v>33</v>
      </c>
      <c r="H117">
        <v>2</v>
      </c>
      <c r="I117">
        <f t="shared" si="26"/>
        <v>-3.4442092722554465</v>
      </c>
      <c r="J117">
        <v>3.0000000000000079E-2</v>
      </c>
      <c r="K117" t="s">
        <v>31</v>
      </c>
      <c r="L117" t="s">
        <v>31</v>
      </c>
      <c r="M117" t="s">
        <v>31</v>
      </c>
      <c r="O117" t="s">
        <v>540</v>
      </c>
      <c r="AC117" t="e">
        <f t="shared" si="17"/>
        <v>#VALUE!</v>
      </c>
    </row>
    <row r="118" spans="1:29">
      <c r="A118" s="47" t="s">
        <v>546</v>
      </c>
      <c r="B118" s="320">
        <v>1.435E-2</v>
      </c>
      <c r="C118" s="104" t="s">
        <v>37</v>
      </c>
      <c r="D118" t="s">
        <v>40</v>
      </c>
      <c r="E118" t="s">
        <v>439</v>
      </c>
      <c r="F118" t="s">
        <v>58</v>
      </c>
      <c r="G118" t="s">
        <v>33</v>
      </c>
      <c r="H118">
        <v>2</v>
      </c>
      <c r="I118">
        <f t="shared" si="26"/>
        <v>-4.2440053367765067</v>
      </c>
      <c r="J118">
        <v>3.0000000000000079E-2</v>
      </c>
      <c r="K118" t="s">
        <v>31</v>
      </c>
      <c r="L118" t="s">
        <v>31</v>
      </c>
      <c r="M118" t="s">
        <v>31</v>
      </c>
      <c r="O118" t="s">
        <v>540</v>
      </c>
      <c r="AC118" t="e">
        <f t="shared" si="17"/>
        <v>#VALUE!</v>
      </c>
    </row>
    <row r="119" spans="1:29">
      <c r="A119" s="47" t="s">
        <v>405</v>
      </c>
      <c r="B119" s="320">
        <v>1.5129999999999999E-2</v>
      </c>
      <c r="C119" s="104" t="s">
        <v>37</v>
      </c>
      <c r="D119" t="s">
        <v>40</v>
      </c>
      <c r="E119" t="s">
        <v>439</v>
      </c>
      <c r="F119" t="s">
        <v>128</v>
      </c>
      <c r="G119" t="s">
        <v>33</v>
      </c>
      <c r="H119">
        <v>2</v>
      </c>
      <c r="I119">
        <f t="shared" si="26"/>
        <v>-4.1910757511818728</v>
      </c>
      <c r="J119">
        <v>3.0000000000000079E-2</v>
      </c>
      <c r="K119" t="s">
        <v>31</v>
      </c>
      <c r="L119" t="s">
        <v>31</v>
      </c>
      <c r="M119" t="s">
        <v>31</v>
      </c>
      <c r="O119" t="s">
        <v>540</v>
      </c>
      <c r="AC119" t="e">
        <f t="shared" si="17"/>
        <v>#VALUE!</v>
      </c>
    </row>
    <row r="120" spans="1:29">
      <c r="A120" s="47" t="s">
        <v>547</v>
      </c>
      <c r="B120" s="24">
        <v>3.066E-2</v>
      </c>
      <c r="C120" s="104" t="s">
        <v>37</v>
      </c>
      <c r="D120" t="s">
        <v>40</v>
      </c>
      <c r="E120" t="s">
        <v>439</v>
      </c>
      <c r="F120" t="s">
        <v>58</v>
      </c>
      <c r="G120" t="s">
        <v>33</v>
      </c>
      <c r="H120">
        <v>2</v>
      </c>
      <c r="I120">
        <f t="shared" si="26"/>
        <v>-3.4847964055384688</v>
      </c>
      <c r="J120">
        <v>3.0000000000000079E-2</v>
      </c>
      <c r="K120" t="s">
        <v>31</v>
      </c>
      <c r="L120" t="s">
        <v>31</v>
      </c>
      <c r="M120" t="s">
        <v>31</v>
      </c>
      <c r="O120" t="s">
        <v>540</v>
      </c>
      <c r="AC120" t="e">
        <f t="shared" si="17"/>
        <v>#VALUE!</v>
      </c>
    </row>
    <row r="121" spans="1:29">
      <c r="A121" t="s">
        <v>75</v>
      </c>
      <c r="B121">
        <v>0.65</v>
      </c>
      <c r="C121" t="s">
        <v>39</v>
      </c>
      <c r="D121" t="s">
        <v>40</v>
      </c>
      <c r="E121" t="s">
        <v>439</v>
      </c>
      <c r="F121" t="s">
        <v>58</v>
      </c>
      <c r="G121" t="s">
        <v>33</v>
      </c>
      <c r="H121">
        <v>2</v>
      </c>
      <c r="I121">
        <f t="shared" si="26"/>
        <v>-0.43078291609245423</v>
      </c>
      <c r="J121">
        <v>3.00000000000001E-2</v>
      </c>
      <c r="K121" t="s">
        <v>31</v>
      </c>
      <c r="L121" t="s">
        <v>31</v>
      </c>
      <c r="M121" t="s">
        <v>31</v>
      </c>
      <c r="AC121" t="e">
        <f t="shared" si="17"/>
        <v>#VALUE!</v>
      </c>
    </row>
    <row r="122" spans="1:29">
      <c r="A122" s="22" t="s">
        <v>220</v>
      </c>
      <c r="B122">
        <v>58.09</v>
      </c>
      <c r="C122" t="s">
        <v>170</v>
      </c>
      <c r="D122" t="s">
        <v>40</v>
      </c>
      <c r="E122" t="s">
        <v>439</v>
      </c>
      <c r="F122" t="s">
        <v>58</v>
      </c>
      <c r="G122" t="s">
        <v>33</v>
      </c>
      <c r="H122">
        <v>2</v>
      </c>
      <c r="I122">
        <f t="shared" si="26"/>
        <v>4.0619935320044416</v>
      </c>
      <c r="J122">
        <v>3.00000000000001E-2</v>
      </c>
      <c r="K122" t="s">
        <v>31</v>
      </c>
      <c r="L122" t="s">
        <v>31</v>
      </c>
      <c r="M122" t="s">
        <v>31</v>
      </c>
      <c r="AC122" t="e">
        <f t="shared" si="17"/>
        <v>#VALUE!</v>
      </c>
    </row>
    <row r="123" spans="1:29">
      <c r="A123" s="42" t="s">
        <v>226</v>
      </c>
      <c r="B123">
        <f>R123</f>
        <v>4.3794662096475145E-4</v>
      </c>
      <c r="C123" s="104" t="s">
        <v>42</v>
      </c>
      <c r="D123" t="s">
        <v>40</v>
      </c>
      <c r="E123" t="s">
        <v>439</v>
      </c>
      <c r="F123" t="s">
        <v>128</v>
      </c>
      <c r="G123" t="s">
        <v>33</v>
      </c>
      <c r="H123">
        <v>2</v>
      </c>
      <c r="I123">
        <f t="shared" si="26"/>
        <v>-7.7334135249580624</v>
      </c>
      <c r="J123">
        <v>3.00000000000001E-2</v>
      </c>
      <c r="K123" t="s">
        <v>31</v>
      </c>
      <c r="L123" t="s">
        <v>31</v>
      </c>
      <c r="M123" t="s">
        <v>31</v>
      </c>
      <c r="O123" t="s">
        <v>548</v>
      </c>
      <c r="P123">
        <v>0.43697000000000003</v>
      </c>
      <c r="Q123" t="s">
        <v>221</v>
      </c>
      <c r="R123">
        <f>P123/997.77</f>
        <v>4.3794662096475145E-4</v>
      </c>
      <c r="S123" t="s">
        <v>219</v>
      </c>
      <c r="T123" s="315" t="s">
        <v>549</v>
      </c>
      <c r="AC123" t="e">
        <f t="shared" si="17"/>
        <v>#VALUE!</v>
      </c>
    </row>
    <row r="124" spans="1:29">
      <c r="A124" s="42" t="s">
        <v>309</v>
      </c>
      <c r="B124">
        <v>1.435E-2</v>
      </c>
      <c r="C124" s="104" t="s">
        <v>37</v>
      </c>
      <c r="D124" t="s">
        <v>40</v>
      </c>
      <c r="E124" t="s">
        <v>439</v>
      </c>
      <c r="F124" t="s">
        <v>128</v>
      </c>
      <c r="G124" t="s">
        <v>33</v>
      </c>
      <c r="H124">
        <v>2</v>
      </c>
      <c r="I124">
        <f t="shared" si="26"/>
        <v>-4.2440053367765067</v>
      </c>
      <c r="J124">
        <v>3.00000000000001E-2</v>
      </c>
      <c r="K124" t="s">
        <v>31</v>
      </c>
      <c r="L124" t="s">
        <v>31</v>
      </c>
      <c r="M124" t="s">
        <v>31</v>
      </c>
      <c r="AC124" t="e">
        <f t="shared" si="17"/>
        <v>#VALUE!</v>
      </c>
    </row>
    <row r="125" spans="1:29">
      <c r="A125" s="321" t="s">
        <v>550</v>
      </c>
      <c r="B125">
        <v>0.26802999999999999</v>
      </c>
      <c r="C125" s="104" t="s">
        <v>37</v>
      </c>
      <c r="D125" t="s">
        <v>40</v>
      </c>
      <c r="E125" t="s">
        <v>439</v>
      </c>
      <c r="F125" t="s">
        <v>128</v>
      </c>
      <c r="G125" t="s">
        <v>33</v>
      </c>
      <c r="H125">
        <v>2</v>
      </c>
      <c r="I125">
        <f t="shared" si="26"/>
        <v>-1.3166563644376206</v>
      </c>
      <c r="J125">
        <v>3.00000000000001E-2</v>
      </c>
      <c r="K125" t="s">
        <v>31</v>
      </c>
      <c r="L125" t="s">
        <v>31</v>
      </c>
      <c r="M125" t="s">
        <v>31</v>
      </c>
      <c r="AC125" t="e">
        <f t="shared" si="17"/>
        <v>#VALUE!</v>
      </c>
    </row>
    <row r="126" spans="1:29">
      <c r="A126" s="47" t="s">
        <v>229</v>
      </c>
      <c r="B126">
        <v>5.5049999999999999</v>
      </c>
      <c r="C126" s="104" t="s">
        <v>37</v>
      </c>
      <c r="D126" s="22" t="s">
        <v>43</v>
      </c>
      <c r="E126" s="47" t="s">
        <v>44</v>
      </c>
      <c r="F126" t="s">
        <v>29</v>
      </c>
      <c r="G126" t="s">
        <v>45</v>
      </c>
      <c r="H126">
        <v>2</v>
      </c>
      <c r="I126">
        <f t="shared" si="26"/>
        <v>1.7056567701746432</v>
      </c>
      <c r="J126">
        <v>3.00000000000001E-2</v>
      </c>
      <c r="K126" t="s">
        <v>31</v>
      </c>
      <c r="L126" t="s">
        <v>31</v>
      </c>
      <c r="M126" t="s">
        <v>31</v>
      </c>
      <c r="AC126" t="e">
        <f t="shared" si="17"/>
        <v>#VALUE!</v>
      </c>
    </row>
    <row r="127" spans="1:29" s="41" customFormat="1">
      <c r="A127" s="300" t="s">
        <v>5</v>
      </c>
      <c r="B127" s="108" t="str">
        <f>A137</f>
        <v>Production of Perfluorosulfonic acid (PFSA) ionomer</v>
      </c>
      <c r="C127" s="39"/>
      <c r="AC127">
        <f t="shared" si="17"/>
        <v>0</v>
      </c>
    </row>
    <row r="128" spans="1:29">
      <c r="A128" s="101" t="s">
        <v>7</v>
      </c>
      <c r="B128" t="s">
        <v>439</v>
      </c>
      <c r="C128" s="102"/>
      <c r="AC128">
        <f t="shared" si="17"/>
        <v>0</v>
      </c>
    </row>
    <row r="129" spans="1:29">
      <c r="A129" s="101" t="s">
        <v>9</v>
      </c>
      <c r="B129" s="301" t="s">
        <v>551</v>
      </c>
      <c r="C129" s="102"/>
      <c r="AC129">
        <f t="shared" si="17"/>
        <v>0</v>
      </c>
    </row>
    <row r="130" spans="1:29" ht="50.25" customHeight="1">
      <c r="A130" s="101" t="s">
        <v>11</v>
      </c>
      <c r="B130" s="311" t="s">
        <v>552</v>
      </c>
      <c r="AC130">
        <f t="shared" si="17"/>
        <v>0</v>
      </c>
    </row>
    <row r="131" spans="1:29">
      <c r="A131" s="101" t="s">
        <v>13</v>
      </c>
      <c r="B131" t="s">
        <v>58</v>
      </c>
      <c r="AC131">
        <f t="shared" si="17"/>
        <v>0</v>
      </c>
    </row>
    <row r="132" spans="1:29">
      <c r="A132" s="101" t="s">
        <v>15</v>
      </c>
      <c r="B132">
        <f>B137</f>
        <v>1</v>
      </c>
      <c r="AC132">
        <f t="shared" si="17"/>
        <v>0</v>
      </c>
    </row>
    <row r="133" spans="1:29">
      <c r="A133" s="101" t="s">
        <v>16</v>
      </c>
      <c r="B133" t="s">
        <v>17</v>
      </c>
      <c r="AC133">
        <f t="shared" si="17"/>
        <v>0</v>
      </c>
    </row>
    <row r="134" spans="1:29">
      <c r="A134" s="101" t="s">
        <v>18</v>
      </c>
      <c r="B134" t="str">
        <f>C137</f>
        <v>unit</v>
      </c>
      <c r="AC134">
        <f t="shared" si="17"/>
        <v>0</v>
      </c>
    </row>
    <row r="135" spans="1:29">
      <c r="A135" s="302" t="s">
        <v>19</v>
      </c>
      <c r="AC135">
        <f t="shared" si="17"/>
        <v>0</v>
      </c>
    </row>
    <row r="136" spans="1:29">
      <c r="A136" s="302" t="s">
        <v>20</v>
      </c>
      <c r="B136" s="159" t="s">
        <v>21</v>
      </c>
      <c r="C136" s="159" t="s">
        <v>18</v>
      </c>
      <c r="D136" s="159" t="s">
        <v>22</v>
      </c>
      <c r="E136" s="159" t="s">
        <v>7</v>
      </c>
      <c r="F136" s="159" t="s">
        <v>13</v>
      </c>
      <c r="G136" s="159" t="s">
        <v>16</v>
      </c>
      <c r="H136" s="159" t="s">
        <v>23</v>
      </c>
      <c r="I136" s="159" t="s">
        <v>24</v>
      </c>
      <c r="J136" s="159" t="s">
        <v>25</v>
      </c>
      <c r="K136" s="159" t="s">
        <v>26</v>
      </c>
      <c r="L136" s="159" t="s">
        <v>27</v>
      </c>
      <c r="M136" s="159" t="s">
        <v>28</v>
      </c>
      <c r="AC136" t="e">
        <f t="shared" si="17"/>
        <v>#VALUE!</v>
      </c>
    </row>
    <row r="137" spans="1:29" s="304" customFormat="1">
      <c r="A137" s="303" t="str">
        <f>A95</f>
        <v>Production of Perfluorosulfonic acid (PFSA) ionomer</v>
      </c>
      <c r="B137" s="304">
        <v>1</v>
      </c>
      <c r="C137" t="s">
        <v>18</v>
      </c>
      <c r="D137" s="304" t="s">
        <v>2</v>
      </c>
      <c r="E137" s="304" t="s">
        <v>439</v>
      </c>
      <c r="F137" s="304" t="s">
        <v>58</v>
      </c>
      <c r="G137" s="304" t="s">
        <v>30</v>
      </c>
      <c r="H137" s="304">
        <v>1</v>
      </c>
      <c r="I137" s="304">
        <v>1</v>
      </c>
      <c r="J137" s="304" t="s">
        <v>31</v>
      </c>
      <c r="K137" s="304" t="s">
        <v>31</v>
      </c>
      <c r="L137" s="304" t="s">
        <v>31</v>
      </c>
      <c r="M137" s="304" t="s">
        <v>31</v>
      </c>
      <c r="O137" s="305" t="s">
        <v>447</v>
      </c>
      <c r="P137" s="306" t="s">
        <v>448</v>
      </c>
      <c r="Q137" s="306" t="s">
        <v>21</v>
      </c>
      <c r="R137" s="307" t="s">
        <v>449</v>
      </c>
      <c r="T137" s="306" t="s">
        <v>450</v>
      </c>
      <c r="W137" s="304" t="s">
        <v>520</v>
      </c>
      <c r="AC137" t="e">
        <f t="shared" si="17"/>
        <v>#VALUE!</v>
      </c>
    </row>
    <row r="138" spans="1:29">
      <c r="A138" t="s">
        <v>553</v>
      </c>
      <c r="B138">
        <v>1.3</v>
      </c>
      <c r="C138" t="s">
        <v>37</v>
      </c>
      <c r="D138" t="s">
        <v>40</v>
      </c>
      <c r="E138" t="s">
        <v>439</v>
      </c>
      <c r="F138" t="s">
        <v>58</v>
      </c>
      <c r="G138" t="s">
        <v>33</v>
      </c>
      <c r="H138">
        <v>0</v>
      </c>
      <c r="I138">
        <f>B138</f>
        <v>1.3</v>
      </c>
      <c r="J138" t="s">
        <v>31</v>
      </c>
      <c r="K138" t="s">
        <v>31</v>
      </c>
      <c r="L138" t="s">
        <v>31</v>
      </c>
      <c r="M138" t="s">
        <v>31</v>
      </c>
      <c r="AC138" t="e">
        <f t="shared" si="17"/>
        <v>#VALUE!</v>
      </c>
    </row>
    <row r="139" spans="1:29">
      <c r="A139" s="47" t="s">
        <v>554</v>
      </c>
      <c r="B139">
        <v>0.5</v>
      </c>
      <c r="C139" t="s">
        <v>37</v>
      </c>
      <c r="D139" t="s">
        <v>40</v>
      </c>
      <c r="E139" t="s">
        <v>439</v>
      </c>
      <c r="F139" t="s">
        <v>128</v>
      </c>
      <c r="G139" t="s">
        <v>33</v>
      </c>
      <c r="H139">
        <v>0</v>
      </c>
      <c r="I139">
        <f t="shared" ref="I139:I150" si="27">B139</f>
        <v>0.5</v>
      </c>
      <c r="J139" t="s">
        <v>31</v>
      </c>
      <c r="K139" t="s">
        <v>31</v>
      </c>
      <c r="L139" t="s">
        <v>31</v>
      </c>
      <c r="M139" t="s">
        <v>31</v>
      </c>
      <c r="AC139" t="e">
        <f t="shared" si="17"/>
        <v>#VALUE!</v>
      </c>
    </row>
    <row r="140" spans="1:29">
      <c r="A140" s="47" t="s">
        <v>555</v>
      </c>
      <c r="B140">
        <v>3.2</v>
      </c>
      <c r="C140" t="s">
        <v>37</v>
      </c>
      <c r="D140" t="s">
        <v>40</v>
      </c>
      <c r="E140" t="s">
        <v>439</v>
      </c>
      <c r="F140" t="s">
        <v>58</v>
      </c>
      <c r="G140" t="s">
        <v>33</v>
      </c>
      <c r="H140">
        <v>0</v>
      </c>
      <c r="I140">
        <f t="shared" si="27"/>
        <v>3.2</v>
      </c>
      <c r="J140" t="s">
        <v>31</v>
      </c>
      <c r="K140" t="s">
        <v>31</v>
      </c>
      <c r="L140" t="s">
        <v>31</v>
      </c>
      <c r="M140" t="s">
        <v>31</v>
      </c>
      <c r="O140" s="304" t="s">
        <v>540</v>
      </c>
      <c r="AC140" t="e">
        <f t="shared" si="17"/>
        <v>#VALUE!</v>
      </c>
    </row>
    <row r="141" spans="1:29">
      <c r="A141" s="47" t="s">
        <v>556</v>
      </c>
      <c r="B141">
        <v>3</v>
      </c>
      <c r="C141" t="s">
        <v>37</v>
      </c>
      <c r="D141" t="s">
        <v>40</v>
      </c>
      <c r="E141" t="s">
        <v>439</v>
      </c>
      <c r="F141" t="s">
        <v>128</v>
      </c>
      <c r="G141" t="s">
        <v>33</v>
      </c>
      <c r="H141">
        <v>0</v>
      </c>
      <c r="I141">
        <f t="shared" si="27"/>
        <v>3</v>
      </c>
      <c r="J141" t="s">
        <v>31</v>
      </c>
      <c r="K141" t="s">
        <v>31</v>
      </c>
      <c r="L141" t="s">
        <v>31</v>
      </c>
      <c r="M141" t="s">
        <v>31</v>
      </c>
      <c r="AC141" t="e">
        <f t="shared" si="17"/>
        <v>#VALUE!</v>
      </c>
    </row>
    <row r="142" spans="1:29">
      <c r="A142" s="47" t="s">
        <v>547</v>
      </c>
      <c r="B142">
        <v>0.6</v>
      </c>
      <c r="C142" t="s">
        <v>37</v>
      </c>
      <c r="D142" t="s">
        <v>40</v>
      </c>
      <c r="E142" t="s">
        <v>439</v>
      </c>
      <c r="F142" t="s">
        <v>58</v>
      </c>
      <c r="G142" t="s">
        <v>33</v>
      </c>
      <c r="H142">
        <v>0</v>
      </c>
      <c r="I142">
        <f t="shared" si="27"/>
        <v>0.6</v>
      </c>
      <c r="J142" t="s">
        <v>31</v>
      </c>
      <c r="K142" t="s">
        <v>31</v>
      </c>
      <c r="L142" t="s">
        <v>31</v>
      </c>
      <c r="M142" t="s">
        <v>31</v>
      </c>
      <c r="AC142" t="e">
        <f t="shared" si="17"/>
        <v>#VALUE!</v>
      </c>
    </row>
    <row r="143" spans="1:29">
      <c r="A143" s="47" t="s">
        <v>557</v>
      </c>
      <c r="B143">
        <v>0.11</v>
      </c>
      <c r="C143" t="s">
        <v>37</v>
      </c>
      <c r="D143" t="s">
        <v>40</v>
      </c>
      <c r="E143" t="s">
        <v>439</v>
      </c>
      <c r="F143" t="s">
        <v>58</v>
      </c>
      <c r="G143" t="s">
        <v>33</v>
      </c>
      <c r="H143">
        <v>0</v>
      </c>
      <c r="I143">
        <f t="shared" si="27"/>
        <v>0.11</v>
      </c>
      <c r="J143" t="s">
        <v>31</v>
      </c>
      <c r="K143" t="s">
        <v>31</v>
      </c>
      <c r="L143" t="s">
        <v>31</v>
      </c>
      <c r="M143" t="s">
        <v>31</v>
      </c>
      <c r="AC143" t="e">
        <f t="shared" si="17"/>
        <v>#VALUE!</v>
      </c>
    </row>
    <row r="144" spans="1:29">
      <c r="A144" s="47" t="s">
        <v>558</v>
      </c>
      <c r="B144">
        <v>4.0000000000000001E-10</v>
      </c>
      <c r="C144" t="s">
        <v>18</v>
      </c>
      <c r="D144" t="s">
        <v>40</v>
      </c>
      <c r="E144" t="s">
        <v>439</v>
      </c>
      <c r="F144" t="s">
        <v>58</v>
      </c>
      <c r="G144" t="s">
        <v>33</v>
      </c>
      <c r="H144">
        <v>0</v>
      </c>
      <c r="I144">
        <f t="shared" si="27"/>
        <v>4.0000000000000001E-10</v>
      </c>
      <c r="J144" t="s">
        <v>31</v>
      </c>
      <c r="K144" t="s">
        <v>31</v>
      </c>
      <c r="L144" t="s">
        <v>31</v>
      </c>
      <c r="M144" t="s">
        <v>31</v>
      </c>
      <c r="AC144" t="e">
        <f t="shared" si="17"/>
        <v>#VALUE!</v>
      </c>
    </row>
    <row r="145" spans="1:29">
      <c r="A145" s="47" t="s">
        <v>559</v>
      </c>
      <c r="B145">
        <v>0.87</v>
      </c>
      <c r="C145" t="s">
        <v>560</v>
      </c>
      <c r="D145" t="s">
        <v>40</v>
      </c>
      <c r="E145" t="s">
        <v>439</v>
      </c>
      <c r="F145" t="s">
        <v>128</v>
      </c>
      <c r="G145" t="s">
        <v>33</v>
      </c>
      <c r="H145">
        <v>0</v>
      </c>
      <c r="I145">
        <f t="shared" si="27"/>
        <v>0.87</v>
      </c>
      <c r="J145" t="s">
        <v>31</v>
      </c>
      <c r="K145" t="s">
        <v>31</v>
      </c>
      <c r="L145" t="s">
        <v>31</v>
      </c>
      <c r="M145" t="s">
        <v>31</v>
      </c>
      <c r="AC145" t="e">
        <f t="shared" si="17"/>
        <v>#VALUE!</v>
      </c>
    </row>
    <row r="146" spans="1:29">
      <c r="A146" s="47" t="s">
        <v>561</v>
      </c>
      <c r="B146">
        <v>5.22</v>
      </c>
      <c r="C146" t="s">
        <v>560</v>
      </c>
      <c r="D146" t="s">
        <v>40</v>
      </c>
      <c r="E146" t="s">
        <v>439</v>
      </c>
      <c r="F146" t="s">
        <v>128</v>
      </c>
      <c r="G146" t="s">
        <v>33</v>
      </c>
      <c r="H146">
        <v>0</v>
      </c>
      <c r="I146">
        <f t="shared" si="27"/>
        <v>5.22</v>
      </c>
      <c r="J146" t="s">
        <v>31</v>
      </c>
      <c r="K146" t="s">
        <v>31</v>
      </c>
      <c r="L146" t="s">
        <v>31</v>
      </c>
      <c r="M146" t="s">
        <v>31</v>
      </c>
      <c r="O146" s="159" t="s">
        <v>562</v>
      </c>
      <c r="AC146" t="e">
        <f t="shared" si="17"/>
        <v>#VALUE!</v>
      </c>
    </row>
    <row r="147" spans="1:29">
      <c r="A147" s="47" t="s">
        <v>229</v>
      </c>
      <c r="B147">
        <v>8.8800000000000004E-2</v>
      </c>
      <c r="C147" s="104" t="s">
        <v>37</v>
      </c>
      <c r="D147" s="22" t="s">
        <v>43</v>
      </c>
      <c r="E147" s="47" t="s">
        <v>44</v>
      </c>
      <c r="F147" t="s">
        <v>29</v>
      </c>
      <c r="G147" t="s">
        <v>45</v>
      </c>
      <c r="H147">
        <v>0</v>
      </c>
      <c r="I147">
        <f t="shared" si="27"/>
        <v>8.8800000000000004E-2</v>
      </c>
      <c r="J147" t="s">
        <v>31</v>
      </c>
      <c r="K147" t="s">
        <v>31</v>
      </c>
      <c r="L147" t="s">
        <v>31</v>
      </c>
      <c r="M147" t="s">
        <v>31</v>
      </c>
      <c r="O147" s="322" t="s">
        <v>563</v>
      </c>
      <c r="R147" t="s">
        <v>564</v>
      </c>
      <c r="AC147" t="e">
        <f t="shared" si="17"/>
        <v>#VALUE!</v>
      </c>
    </row>
    <row r="148" spans="1:29">
      <c r="A148" s="47" t="s">
        <v>565</v>
      </c>
      <c r="B148">
        <v>2.81</v>
      </c>
      <c r="C148" s="104" t="s">
        <v>37</v>
      </c>
      <c r="D148" t="s">
        <v>40</v>
      </c>
      <c r="E148" t="s">
        <v>439</v>
      </c>
      <c r="F148" t="s">
        <v>128</v>
      </c>
      <c r="G148" t="s">
        <v>33</v>
      </c>
      <c r="H148">
        <v>0</v>
      </c>
      <c r="I148">
        <f t="shared" si="27"/>
        <v>2.81</v>
      </c>
      <c r="J148" t="s">
        <v>31</v>
      </c>
      <c r="K148" t="s">
        <v>31</v>
      </c>
      <c r="L148" t="s">
        <v>31</v>
      </c>
      <c r="M148" t="s">
        <v>31</v>
      </c>
      <c r="O148" s="322" t="s">
        <v>566</v>
      </c>
      <c r="R148" t="s">
        <v>564</v>
      </c>
      <c r="AC148" t="e">
        <f t="shared" si="17"/>
        <v>#VALUE!</v>
      </c>
    </row>
    <row r="149" spans="1:29">
      <c r="A149" s="47" t="s">
        <v>567</v>
      </c>
      <c r="B149">
        <v>0.11</v>
      </c>
      <c r="C149" s="104" t="s">
        <v>37</v>
      </c>
      <c r="D149" t="s">
        <v>40</v>
      </c>
      <c r="E149" t="s">
        <v>439</v>
      </c>
      <c r="F149" t="s">
        <v>128</v>
      </c>
      <c r="G149" t="s">
        <v>33</v>
      </c>
      <c r="H149">
        <v>0</v>
      </c>
      <c r="I149">
        <f t="shared" si="27"/>
        <v>0.11</v>
      </c>
      <c r="J149" t="s">
        <v>31</v>
      </c>
      <c r="K149" t="s">
        <v>31</v>
      </c>
      <c r="L149" t="s">
        <v>31</v>
      </c>
      <c r="M149" t="s">
        <v>31</v>
      </c>
      <c r="O149" s="322" t="s">
        <v>568</v>
      </c>
      <c r="R149" t="s">
        <v>564</v>
      </c>
      <c r="AC149" t="e">
        <f t="shared" si="17"/>
        <v>#VALUE!</v>
      </c>
    </row>
    <row r="150" spans="1:29">
      <c r="A150" s="47" t="s">
        <v>569</v>
      </c>
      <c r="B150">
        <v>0.38</v>
      </c>
      <c r="C150" s="104" t="s">
        <v>37</v>
      </c>
      <c r="D150" t="s">
        <v>40</v>
      </c>
      <c r="E150" t="s">
        <v>439</v>
      </c>
      <c r="F150" t="s">
        <v>128</v>
      </c>
      <c r="G150" t="s">
        <v>33</v>
      </c>
      <c r="H150">
        <v>0</v>
      </c>
      <c r="I150">
        <f t="shared" si="27"/>
        <v>0.38</v>
      </c>
      <c r="J150" t="s">
        <v>31</v>
      </c>
      <c r="K150" t="s">
        <v>31</v>
      </c>
      <c r="L150" t="s">
        <v>31</v>
      </c>
      <c r="M150" t="s">
        <v>31</v>
      </c>
      <c r="AC150" t="e">
        <f t="shared" si="17"/>
        <v>#VALUE!</v>
      </c>
    </row>
    <row r="151" spans="1:29" s="41" customFormat="1">
      <c r="A151" s="300" t="s">
        <v>5</v>
      </c>
      <c r="B151" s="108" t="str">
        <f>A161</f>
        <v>Production of PEMFC_cathode catalyst layer</v>
      </c>
      <c r="C151" s="39"/>
      <c r="AC151">
        <f t="shared" si="17"/>
        <v>0</v>
      </c>
    </row>
    <row r="152" spans="1:29">
      <c r="A152" s="101" t="s">
        <v>7</v>
      </c>
      <c r="B152" t="s">
        <v>439</v>
      </c>
      <c r="C152" s="102"/>
      <c r="AC152">
        <f t="shared" si="17"/>
        <v>0</v>
      </c>
    </row>
    <row r="153" spans="1:29">
      <c r="A153" s="101" t="s">
        <v>9</v>
      </c>
      <c r="B153" s="301" t="s">
        <v>570</v>
      </c>
      <c r="C153" s="102"/>
      <c r="AC153">
        <f t="shared" ref="AC153:AC216" si="28">M153-L153</f>
        <v>0</v>
      </c>
    </row>
    <row r="154" spans="1:29" ht="50.25" customHeight="1">
      <c r="A154" s="101" t="s">
        <v>11</v>
      </c>
      <c r="B154" s="311" t="s">
        <v>571</v>
      </c>
      <c r="AC154">
        <f t="shared" si="28"/>
        <v>0</v>
      </c>
    </row>
    <row r="155" spans="1:29">
      <c r="A155" s="101" t="s">
        <v>13</v>
      </c>
      <c r="B155" t="s">
        <v>58</v>
      </c>
      <c r="AC155">
        <f t="shared" si="28"/>
        <v>0</v>
      </c>
    </row>
    <row r="156" spans="1:29">
      <c r="A156" s="101" t="s">
        <v>15</v>
      </c>
      <c r="B156">
        <f>B161</f>
        <v>1</v>
      </c>
      <c r="AC156">
        <f t="shared" si="28"/>
        <v>0</v>
      </c>
    </row>
    <row r="157" spans="1:29">
      <c r="A157" s="101" t="s">
        <v>16</v>
      </c>
      <c r="B157" t="s">
        <v>17</v>
      </c>
      <c r="AC157">
        <f t="shared" si="28"/>
        <v>0</v>
      </c>
    </row>
    <row r="158" spans="1:29">
      <c r="A158" s="101" t="s">
        <v>18</v>
      </c>
      <c r="B158" t="str">
        <f>C161</f>
        <v>unit</v>
      </c>
      <c r="AC158">
        <f t="shared" si="28"/>
        <v>0</v>
      </c>
    </row>
    <row r="159" spans="1:29">
      <c r="A159" s="302" t="s">
        <v>19</v>
      </c>
      <c r="AC159">
        <f t="shared" si="28"/>
        <v>0</v>
      </c>
    </row>
    <row r="160" spans="1:29">
      <c r="A160" s="302" t="s">
        <v>20</v>
      </c>
      <c r="B160" s="159" t="s">
        <v>21</v>
      </c>
      <c r="C160" s="159" t="s">
        <v>18</v>
      </c>
      <c r="D160" s="159" t="s">
        <v>22</v>
      </c>
      <c r="E160" s="159" t="s">
        <v>7</v>
      </c>
      <c r="F160" s="159" t="s">
        <v>13</v>
      </c>
      <c r="G160" s="159" t="s">
        <v>16</v>
      </c>
      <c r="H160" s="159" t="s">
        <v>23</v>
      </c>
      <c r="I160" s="159" t="s">
        <v>24</v>
      </c>
      <c r="J160" s="159" t="s">
        <v>25</v>
      </c>
      <c r="K160" s="159" t="s">
        <v>26</v>
      </c>
      <c r="L160" s="159" t="s">
        <v>27</v>
      </c>
      <c r="M160" s="159" t="s">
        <v>28</v>
      </c>
      <c r="AC160" t="e">
        <f t="shared" si="28"/>
        <v>#VALUE!</v>
      </c>
    </row>
    <row r="161" spans="1:29" s="304" customFormat="1">
      <c r="A161" s="303" t="str">
        <f>A77</f>
        <v>Production of PEMFC_cathode catalyst layer</v>
      </c>
      <c r="B161" s="304">
        <v>1</v>
      </c>
      <c r="C161" t="s">
        <v>18</v>
      </c>
      <c r="D161" s="304" t="s">
        <v>2</v>
      </c>
      <c r="E161" s="304" t="s">
        <v>439</v>
      </c>
      <c r="F161" s="304" t="s">
        <v>58</v>
      </c>
      <c r="G161" s="304" t="s">
        <v>30</v>
      </c>
      <c r="H161" s="304">
        <v>1</v>
      </c>
      <c r="I161" s="304">
        <v>1</v>
      </c>
      <c r="J161" s="304" t="s">
        <v>31</v>
      </c>
      <c r="K161" s="304" t="s">
        <v>31</v>
      </c>
      <c r="L161" s="304" t="s">
        <v>31</v>
      </c>
      <c r="M161" s="304" t="s">
        <v>31</v>
      </c>
      <c r="O161" s="305" t="s">
        <v>447</v>
      </c>
      <c r="P161" s="306" t="s">
        <v>448</v>
      </c>
      <c r="Q161" s="306" t="s">
        <v>21</v>
      </c>
      <c r="R161" s="307" t="s">
        <v>449</v>
      </c>
      <c r="T161" s="306" t="s">
        <v>450</v>
      </c>
      <c r="W161" s="304" t="s">
        <v>520</v>
      </c>
      <c r="AC161" t="e">
        <f t="shared" si="28"/>
        <v>#VALUE!</v>
      </c>
    </row>
    <row r="162" spans="1:29">
      <c r="A162" s="47" t="s">
        <v>521</v>
      </c>
      <c r="B162">
        <v>6.3157894736842103E-5</v>
      </c>
      <c r="C162" t="s">
        <v>37</v>
      </c>
      <c r="D162" t="s">
        <v>40</v>
      </c>
      <c r="E162" t="s">
        <v>439</v>
      </c>
      <c r="F162" t="s">
        <v>58</v>
      </c>
      <c r="G162" t="s">
        <v>33</v>
      </c>
      <c r="H162">
        <v>5</v>
      </c>
      <c r="I162">
        <f t="shared" ref="I162:I166" si="29">B162</f>
        <v>6.3157894736842103E-5</v>
      </c>
      <c r="J162" t="s">
        <v>31</v>
      </c>
      <c r="K162" t="s">
        <v>31</v>
      </c>
      <c r="L162">
        <f>0</f>
        <v>0</v>
      </c>
      <c r="M162">
        <f>2*B162</f>
        <v>1.2631578947368421E-4</v>
      </c>
      <c r="O162">
        <v>1</v>
      </c>
      <c r="P162">
        <v>0.95</v>
      </c>
      <c r="Q162" cm="1">
        <f t="array" ref="Q162:Q165">W162:W165</f>
        <v>5.9999999999999995E-5</v>
      </c>
      <c r="R162" s="309">
        <f>(Q162/P162)*O162</f>
        <v>6.3157894736842103E-5</v>
      </c>
      <c r="T162" t="s">
        <v>522</v>
      </c>
      <c r="U162">
        <v>60</v>
      </c>
      <c r="V162" t="s">
        <v>523</v>
      </c>
      <c r="W162">
        <f>10^(-6)*U162</f>
        <v>5.9999999999999995E-5</v>
      </c>
      <c r="X162" t="s">
        <v>221</v>
      </c>
      <c r="AC162">
        <f t="shared" si="28"/>
        <v>1.2631578947368421E-4</v>
      </c>
    </row>
    <row r="163" spans="1:29">
      <c r="A163" t="str">
        <f>A111</f>
        <v>Production of Carbon nanotubes, carbon black</v>
      </c>
      <c r="B163">
        <v>6.3157894736842103E-5</v>
      </c>
      <c r="C163" t="str">
        <f t="shared" ref="C163:F163" si="30">C111</f>
        <v>unit</v>
      </c>
      <c r="D163" t="str">
        <f t="shared" si="30"/>
        <v>GENESIS_2040_PEMFC-bat_NDC</v>
      </c>
      <c r="E163" t="str">
        <f t="shared" si="30"/>
        <v>FC-PEM, medium-term</v>
      </c>
      <c r="F163" t="str">
        <f t="shared" si="30"/>
        <v>GLO</v>
      </c>
      <c r="G163" t="s">
        <v>33</v>
      </c>
      <c r="H163">
        <v>5</v>
      </c>
      <c r="I163">
        <f t="shared" si="29"/>
        <v>6.3157894736842103E-5</v>
      </c>
      <c r="J163" t="s">
        <v>31</v>
      </c>
      <c r="K163" t="s">
        <v>31</v>
      </c>
      <c r="L163">
        <v>0</v>
      </c>
      <c r="M163">
        <f t="shared" ref="M163:M164" si="31">2*B163</f>
        <v>1.2631578947368421E-4</v>
      </c>
      <c r="O163">
        <v>1</v>
      </c>
      <c r="P163">
        <v>0.95</v>
      </c>
      <c r="Q163">
        <v>5.9999999999999995E-5</v>
      </c>
      <c r="R163" s="309">
        <f t="shared" ref="R163:R164" si="32">(Q163/P163)*O163</f>
        <v>6.3157894736842103E-5</v>
      </c>
      <c r="T163" t="s">
        <v>522</v>
      </c>
      <c r="U163">
        <v>60</v>
      </c>
      <c r="V163" t="s">
        <v>523</v>
      </c>
      <c r="W163">
        <f t="shared" ref="W163:W164" si="33">10^(-6)*U163</f>
        <v>5.9999999999999995E-5</v>
      </c>
      <c r="X163" t="s">
        <v>221</v>
      </c>
      <c r="AC163">
        <f t="shared" si="28"/>
        <v>1.2631578947368421E-4</v>
      </c>
    </row>
    <row r="164" spans="1:29">
      <c r="A164" t="str">
        <f>A137</f>
        <v>Production of Perfluorosulfonic acid (PFSA) ionomer</v>
      </c>
      <c r="B164">
        <v>1.5157894736842105E-5</v>
      </c>
      <c r="C164" t="str">
        <f t="shared" ref="C164:F164" si="34">C137</f>
        <v>unit</v>
      </c>
      <c r="D164" t="str">
        <f t="shared" si="34"/>
        <v>GENESIS_2040_PEMFC-bat_NDC</v>
      </c>
      <c r="E164" t="str">
        <f t="shared" si="34"/>
        <v>FC-PEM, medium-term</v>
      </c>
      <c r="F164" t="str">
        <f t="shared" si="34"/>
        <v>GLO</v>
      </c>
      <c r="G164" t="s">
        <v>33</v>
      </c>
      <c r="H164">
        <v>5</v>
      </c>
      <c r="I164">
        <f t="shared" si="29"/>
        <v>1.5157894736842105E-5</v>
      </c>
      <c r="J164" t="s">
        <v>31</v>
      </c>
      <c r="K164" t="s">
        <v>31</v>
      </c>
      <c r="L164">
        <v>0</v>
      </c>
      <c r="M164">
        <f t="shared" si="31"/>
        <v>3.0315789473684211E-5</v>
      </c>
      <c r="O164" s="23">
        <f>3/5</f>
        <v>0.6</v>
      </c>
      <c r="P164">
        <v>0.95</v>
      </c>
      <c r="Q164">
        <v>2.4000000000000001E-5</v>
      </c>
      <c r="R164" s="309">
        <f t="shared" si="32"/>
        <v>1.5157894736842105E-5</v>
      </c>
      <c r="T164" t="s">
        <v>522</v>
      </c>
      <c r="U164">
        <v>24</v>
      </c>
      <c r="V164" t="s">
        <v>523</v>
      </c>
      <c r="W164">
        <f t="shared" si="33"/>
        <v>2.4000000000000001E-5</v>
      </c>
      <c r="X164" t="s">
        <v>221</v>
      </c>
      <c r="AC164">
        <f t="shared" si="28"/>
        <v>3.0315789473684211E-5</v>
      </c>
    </row>
    <row r="165" spans="1:29">
      <c r="A165" s="63" t="s">
        <v>530</v>
      </c>
      <c r="B165">
        <v>7.5789473684210538E-5</v>
      </c>
      <c r="C165" t="s">
        <v>37</v>
      </c>
      <c r="D165" t="s">
        <v>40</v>
      </c>
      <c r="E165" s="304" t="s">
        <v>439</v>
      </c>
      <c r="F165" t="s">
        <v>128</v>
      </c>
      <c r="G165" t="s">
        <v>33</v>
      </c>
      <c r="H165">
        <v>5</v>
      </c>
      <c r="I165">
        <f t="shared" si="29"/>
        <v>7.5789473684210538E-5</v>
      </c>
      <c r="J165" t="s">
        <v>31</v>
      </c>
      <c r="K165" t="s">
        <v>31</v>
      </c>
      <c r="L165">
        <f>0.5*B165</f>
        <v>3.7894736842105269E-5</v>
      </c>
      <c r="M165">
        <f>1.5*B165</f>
        <v>1.136842105263158E-4</v>
      </c>
      <c r="N165" t="s">
        <v>572</v>
      </c>
      <c r="O165">
        <v>1</v>
      </c>
      <c r="P165">
        <v>1</v>
      </c>
      <c r="Q165">
        <v>6.0589473684210493E-5</v>
      </c>
      <c r="R165" s="309">
        <f>(Q165/P165)*O165</f>
        <v>6.0589473684210493E-5</v>
      </c>
      <c r="T165" t="s">
        <v>532</v>
      </c>
      <c r="U165">
        <f>0.757894736842105-0.152</f>
        <v>0.60589473684210493</v>
      </c>
      <c r="V165" t="s">
        <v>533</v>
      </c>
      <c r="W165" s="317">
        <f>U165*100*10^(-6)</f>
        <v>6.0589473684210493E-5</v>
      </c>
      <c r="X165" t="s">
        <v>221</v>
      </c>
      <c r="AC165">
        <f t="shared" si="28"/>
        <v>7.5789473684210524E-5</v>
      </c>
    </row>
    <row r="166" spans="1:29">
      <c r="A166" t="s">
        <v>79</v>
      </c>
      <c r="B166">
        <f>R166</f>
        <v>0.75774307580210498</v>
      </c>
      <c r="C166" t="s">
        <v>37</v>
      </c>
      <c r="D166" t="s">
        <v>40</v>
      </c>
      <c r="E166" s="304" t="s">
        <v>439</v>
      </c>
      <c r="F166" t="s">
        <v>58</v>
      </c>
      <c r="G166" t="s">
        <v>33</v>
      </c>
      <c r="H166">
        <v>5</v>
      </c>
      <c r="I166">
        <f t="shared" si="29"/>
        <v>0.75774307580210498</v>
      </c>
      <c r="J166" s="304" t="s">
        <v>31</v>
      </c>
      <c r="K166" s="304" t="s">
        <v>31</v>
      </c>
      <c r="L166">
        <f>0.5*B166</f>
        <v>0.37887153790105249</v>
      </c>
      <c r="M166">
        <f>1.5*B166</f>
        <v>1.1366146137031574</v>
      </c>
      <c r="N166" t="s">
        <v>572</v>
      </c>
      <c r="O166">
        <v>1</v>
      </c>
      <c r="P166">
        <v>1</v>
      </c>
      <c r="Q166" s="323">
        <f>0.757894736842105-997.77*0.152*10^-6</f>
        <v>0.75774307580210498</v>
      </c>
      <c r="R166" s="309">
        <f>(Q166/P166)*O166</f>
        <v>0.75774307580210498</v>
      </c>
      <c r="T166" t="s">
        <v>532</v>
      </c>
      <c r="AC166">
        <f t="shared" si="28"/>
        <v>0.75774307580210487</v>
      </c>
    </row>
    <row r="167" spans="1:29" s="41" customFormat="1">
      <c r="A167" s="300" t="s">
        <v>5</v>
      </c>
      <c r="B167" s="108" t="str">
        <f>A177</f>
        <v>Production of PEMFC_electrolyte membrane</v>
      </c>
      <c r="C167" s="39"/>
      <c r="AC167">
        <f t="shared" si="28"/>
        <v>0</v>
      </c>
    </row>
    <row r="168" spans="1:29">
      <c r="A168" s="101" t="s">
        <v>7</v>
      </c>
      <c r="B168" t="s">
        <v>439</v>
      </c>
      <c r="C168" s="102"/>
      <c r="AC168">
        <f t="shared" si="28"/>
        <v>0</v>
      </c>
    </row>
    <row r="169" spans="1:29">
      <c r="A169" s="101" t="s">
        <v>9</v>
      </c>
      <c r="B169" s="301" t="s">
        <v>573</v>
      </c>
      <c r="C169" s="102"/>
      <c r="AC169">
        <f t="shared" si="28"/>
        <v>0</v>
      </c>
    </row>
    <row r="170" spans="1:29" ht="50.25" customHeight="1">
      <c r="A170" s="101" t="s">
        <v>11</v>
      </c>
      <c r="B170" s="311" t="s">
        <v>574</v>
      </c>
      <c r="AC170">
        <f t="shared" si="28"/>
        <v>0</v>
      </c>
    </row>
    <row r="171" spans="1:29">
      <c r="A171" s="101" t="s">
        <v>13</v>
      </c>
      <c r="B171" t="s">
        <v>58</v>
      </c>
      <c r="AC171">
        <f t="shared" si="28"/>
        <v>0</v>
      </c>
    </row>
    <row r="172" spans="1:29">
      <c r="A172" s="101" t="s">
        <v>15</v>
      </c>
      <c r="B172">
        <f>B177</f>
        <v>1</v>
      </c>
      <c r="AC172">
        <f t="shared" si="28"/>
        <v>0</v>
      </c>
    </row>
    <row r="173" spans="1:29">
      <c r="A173" s="101" t="s">
        <v>16</v>
      </c>
      <c r="B173" t="s">
        <v>17</v>
      </c>
      <c r="AC173">
        <f t="shared" si="28"/>
        <v>0</v>
      </c>
    </row>
    <row r="174" spans="1:29">
      <c r="A174" s="101" t="s">
        <v>18</v>
      </c>
      <c r="B174" t="str">
        <f>C177</f>
        <v>unit</v>
      </c>
      <c r="AC174">
        <f t="shared" si="28"/>
        <v>0</v>
      </c>
    </row>
    <row r="175" spans="1:29">
      <c r="A175" s="302" t="s">
        <v>19</v>
      </c>
      <c r="AC175">
        <f t="shared" si="28"/>
        <v>0</v>
      </c>
    </row>
    <row r="176" spans="1:29">
      <c r="A176" s="302" t="s">
        <v>20</v>
      </c>
      <c r="B176" s="159" t="s">
        <v>21</v>
      </c>
      <c r="C176" s="159" t="s">
        <v>18</v>
      </c>
      <c r="D176" s="159" t="s">
        <v>22</v>
      </c>
      <c r="E176" s="159" t="s">
        <v>7</v>
      </c>
      <c r="F176" s="159" t="s">
        <v>13</v>
      </c>
      <c r="G176" s="159" t="s">
        <v>16</v>
      </c>
      <c r="H176" s="159" t="s">
        <v>23</v>
      </c>
      <c r="I176" s="159" t="s">
        <v>24</v>
      </c>
      <c r="J176" s="159" t="s">
        <v>25</v>
      </c>
      <c r="K176" s="159" t="s">
        <v>26</v>
      </c>
      <c r="L176" s="159" t="s">
        <v>27</v>
      </c>
      <c r="M176" s="159" t="s">
        <v>28</v>
      </c>
      <c r="AC176" t="e">
        <f t="shared" si="28"/>
        <v>#VALUE!</v>
      </c>
    </row>
    <row r="177" spans="1:29" s="304" customFormat="1">
      <c r="A177" s="303" t="str">
        <f>A78</f>
        <v>Production of PEMFC_electrolyte membrane</v>
      </c>
      <c r="B177" s="304">
        <v>1</v>
      </c>
      <c r="C177" s="24" t="s">
        <v>18</v>
      </c>
      <c r="D177" s="304" t="s">
        <v>2</v>
      </c>
      <c r="E177" s="304" t="s">
        <v>439</v>
      </c>
      <c r="F177" s="304" t="s">
        <v>58</v>
      </c>
      <c r="G177" s="304" t="s">
        <v>30</v>
      </c>
      <c r="H177" s="304">
        <v>1</v>
      </c>
      <c r="I177" s="304">
        <v>1</v>
      </c>
      <c r="J177" s="304" t="s">
        <v>31</v>
      </c>
      <c r="K177" s="304" t="s">
        <v>31</v>
      </c>
      <c r="L177" s="304" t="s">
        <v>31</v>
      </c>
      <c r="M177" s="304" t="s">
        <v>31</v>
      </c>
      <c r="O177" s="305" t="s">
        <v>447</v>
      </c>
      <c r="P177" s="306" t="s">
        <v>448</v>
      </c>
      <c r="Q177" s="306" t="s">
        <v>21</v>
      </c>
      <c r="R177" s="307" t="s">
        <v>449</v>
      </c>
      <c r="T177" s="306" t="s">
        <v>450</v>
      </c>
      <c r="W177" s="304" t="s">
        <v>520</v>
      </c>
      <c r="AC177" t="e">
        <f t="shared" si="28"/>
        <v>#VALUE!</v>
      </c>
    </row>
    <row r="178" spans="1:29">
      <c r="A178" s="24" t="s">
        <v>528</v>
      </c>
      <c r="B178" s="24">
        <f>R178</f>
        <v>4.8979591836734702E-4</v>
      </c>
      <c r="C178" s="24" t="str">
        <f t="shared" ref="C178:F179" si="35">C137</f>
        <v>unit</v>
      </c>
      <c r="D178" s="24" t="str">
        <f t="shared" si="35"/>
        <v>GENESIS_2040_PEMFC-bat_NDC</v>
      </c>
      <c r="E178" s="24" t="str">
        <f t="shared" si="35"/>
        <v>FC-PEM, medium-term</v>
      </c>
      <c r="F178" s="24" t="str">
        <f t="shared" si="35"/>
        <v>GLO</v>
      </c>
      <c r="G178" s="24" t="s">
        <v>33</v>
      </c>
      <c r="H178" s="24">
        <v>5</v>
      </c>
      <c r="I178">
        <f t="shared" ref="I178:I179" si="36">B178</f>
        <v>4.8979591836734702E-4</v>
      </c>
      <c r="J178" s="304" t="s">
        <v>31</v>
      </c>
      <c r="K178" s="304" t="s">
        <v>31</v>
      </c>
      <c r="L178">
        <f>0</f>
        <v>0</v>
      </c>
      <c r="M178">
        <f t="shared" ref="M178:M179" si="37">2*B178</f>
        <v>9.7959183673469404E-4</v>
      </c>
      <c r="O178">
        <v>1</v>
      </c>
      <c r="P178">
        <v>0.98</v>
      </c>
      <c r="Q178">
        <f>W178</f>
        <v>4.8000000000000007E-4</v>
      </c>
      <c r="R178" s="309">
        <f>(Q178/P178)*O178</f>
        <v>4.8979591836734702E-4</v>
      </c>
      <c r="T178" t="s">
        <v>522</v>
      </c>
      <c r="U178">
        <v>0.48000000000000004</v>
      </c>
      <c r="V178" t="s">
        <v>575</v>
      </c>
      <c r="W178">
        <f>0.001*U178</f>
        <v>4.8000000000000007E-4</v>
      </c>
      <c r="X178" t="s">
        <v>221</v>
      </c>
      <c r="AC178">
        <f t="shared" si="28"/>
        <v>9.7959183673469404E-4</v>
      </c>
    </row>
    <row r="179" spans="1:29">
      <c r="A179" s="63" t="s">
        <v>576</v>
      </c>
      <c r="B179" s="24">
        <f>R179</f>
        <v>1.0204081632653063E-5</v>
      </c>
      <c r="C179" s="24" t="s">
        <v>18</v>
      </c>
      <c r="D179" s="24" t="s">
        <v>2</v>
      </c>
      <c r="E179" s="24" t="str">
        <f t="shared" si="35"/>
        <v>FC-PEM, medium-term</v>
      </c>
      <c r="F179" s="24" t="str">
        <f t="shared" si="35"/>
        <v>GLO</v>
      </c>
      <c r="G179" s="24" t="s">
        <v>33</v>
      </c>
      <c r="H179" s="24">
        <v>5</v>
      </c>
      <c r="I179">
        <f t="shared" si="36"/>
        <v>1.0204081632653063E-5</v>
      </c>
      <c r="J179" s="304" t="s">
        <v>31</v>
      </c>
      <c r="K179" s="304" t="s">
        <v>31</v>
      </c>
      <c r="L179">
        <f>0</f>
        <v>0</v>
      </c>
      <c r="M179">
        <f t="shared" si="37"/>
        <v>2.0408163265306126E-5</v>
      </c>
      <c r="N179" t="s">
        <v>577</v>
      </c>
      <c r="O179">
        <f>2/3</f>
        <v>0.66666666666666663</v>
      </c>
      <c r="P179">
        <v>0.98</v>
      </c>
      <c r="Q179">
        <f>W179</f>
        <v>1.5000000000000002E-5</v>
      </c>
      <c r="R179" s="309">
        <f t="shared" ref="R179" si="38">(Q179/P179)*O179</f>
        <v>1.0204081632653063E-5</v>
      </c>
      <c r="T179" t="s">
        <v>522</v>
      </c>
      <c r="U179">
        <v>1.5000000000000001E-2</v>
      </c>
      <c r="V179" t="s">
        <v>575</v>
      </c>
      <c r="W179">
        <f t="shared" ref="W179" si="39">0.001*U179</f>
        <v>1.5000000000000002E-5</v>
      </c>
      <c r="X179" t="s">
        <v>221</v>
      </c>
      <c r="AC179">
        <f t="shared" si="28"/>
        <v>2.0408163265306126E-5</v>
      </c>
    </row>
    <row r="180" spans="1:29" s="41" customFormat="1">
      <c r="A180" s="300" t="s">
        <v>5</v>
      </c>
      <c r="B180" s="108" t="str">
        <f>A190</f>
        <v>Production of Polytetrafluoroethylene, PTFE reinforcement</v>
      </c>
      <c r="C180" s="39"/>
      <c r="AC180">
        <f t="shared" si="28"/>
        <v>0</v>
      </c>
    </row>
    <row r="181" spans="1:29">
      <c r="A181" s="101" t="s">
        <v>7</v>
      </c>
      <c r="B181" t="s">
        <v>439</v>
      </c>
      <c r="C181" s="102"/>
      <c r="AC181">
        <f t="shared" si="28"/>
        <v>0</v>
      </c>
    </row>
    <row r="182" spans="1:29">
      <c r="A182" s="101" t="s">
        <v>9</v>
      </c>
      <c r="B182" s="301" t="s">
        <v>578</v>
      </c>
      <c r="C182" s="102"/>
      <c r="AC182">
        <f t="shared" si="28"/>
        <v>0</v>
      </c>
    </row>
    <row r="183" spans="1:29" ht="50.25" customHeight="1">
      <c r="A183" s="101" t="s">
        <v>11</v>
      </c>
      <c r="B183" s="311" t="s">
        <v>579</v>
      </c>
      <c r="AC183">
        <f t="shared" si="28"/>
        <v>0</v>
      </c>
    </row>
    <row r="184" spans="1:29">
      <c r="A184" s="101" t="s">
        <v>13</v>
      </c>
      <c r="B184" t="s">
        <v>58</v>
      </c>
      <c r="AC184">
        <f t="shared" si="28"/>
        <v>0</v>
      </c>
    </row>
    <row r="185" spans="1:29">
      <c r="A185" s="101" t="s">
        <v>15</v>
      </c>
      <c r="B185">
        <f>B190</f>
        <v>1</v>
      </c>
      <c r="AC185">
        <f t="shared" si="28"/>
        <v>0</v>
      </c>
    </row>
    <row r="186" spans="1:29">
      <c r="A186" s="101" t="s">
        <v>16</v>
      </c>
      <c r="B186" t="s">
        <v>17</v>
      </c>
      <c r="AC186">
        <f t="shared" si="28"/>
        <v>0</v>
      </c>
    </row>
    <row r="187" spans="1:29">
      <c r="A187" s="101" t="s">
        <v>18</v>
      </c>
      <c r="B187" t="str">
        <f>C190</f>
        <v>unit</v>
      </c>
      <c r="AC187">
        <f t="shared" si="28"/>
        <v>0</v>
      </c>
    </row>
    <row r="188" spans="1:29">
      <c r="A188" s="302" t="s">
        <v>19</v>
      </c>
      <c r="AC188">
        <f t="shared" si="28"/>
        <v>0</v>
      </c>
    </row>
    <row r="189" spans="1:29">
      <c r="A189" s="302" t="s">
        <v>20</v>
      </c>
      <c r="B189" s="159" t="s">
        <v>21</v>
      </c>
      <c r="C189" s="159" t="s">
        <v>18</v>
      </c>
      <c r="D189" s="159" t="s">
        <v>22</v>
      </c>
      <c r="E189" s="159" t="s">
        <v>7</v>
      </c>
      <c r="F189" s="159" t="s">
        <v>13</v>
      </c>
      <c r="G189" s="159" t="s">
        <v>16</v>
      </c>
      <c r="H189" s="159" t="s">
        <v>23</v>
      </c>
      <c r="I189" s="159" t="s">
        <v>24</v>
      </c>
      <c r="J189" s="159" t="s">
        <v>25</v>
      </c>
      <c r="K189" s="159" t="s">
        <v>26</v>
      </c>
      <c r="L189" s="159" t="s">
        <v>27</v>
      </c>
      <c r="M189" s="159" t="s">
        <v>28</v>
      </c>
      <c r="AC189" t="e">
        <f t="shared" si="28"/>
        <v>#VALUE!</v>
      </c>
    </row>
    <row r="190" spans="1:29" s="304" customFormat="1">
      <c r="A190" s="303" t="str">
        <f>A179</f>
        <v>Production of Polytetrafluoroethylene, PTFE reinforcement</v>
      </c>
      <c r="B190" s="304">
        <v>1</v>
      </c>
      <c r="C190" t="s">
        <v>18</v>
      </c>
      <c r="D190" s="304" t="s">
        <v>2</v>
      </c>
      <c r="E190" s="304" t="s">
        <v>439</v>
      </c>
      <c r="F190" s="304" t="s">
        <v>58</v>
      </c>
      <c r="G190" s="304" t="s">
        <v>30</v>
      </c>
      <c r="H190" s="304">
        <v>1</v>
      </c>
      <c r="I190" s="304">
        <v>1</v>
      </c>
      <c r="J190" s="304" t="s">
        <v>31</v>
      </c>
      <c r="K190" s="304" t="s">
        <v>31</v>
      </c>
      <c r="L190" s="304" t="s">
        <v>31</v>
      </c>
      <c r="M190" s="304" t="s">
        <v>31</v>
      </c>
      <c r="O190" s="305" t="s">
        <v>447</v>
      </c>
      <c r="P190" s="306" t="s">
        <v>448</v>
      </c>
      <c r="Q190" s="306" t="s">
        <v>21</v>
      </c>
      <c r="R190" s="307" t="s">
        <v>449</v>
      </c>
      <c r="T190" s="306" t="s">
        <v>450</v>
      </c>
      <c r="W190" s="304" t="s">
        <v>520</v>
      </c>
      <c r="AC190" t="e">
        <f t="shared" si="28"/>
        <v>#VALUE!</v>
      </c>
    </row>
    <row r="191" spans="1:29">
      <c r="A191" t="s">
        <v>580</v>
      </c>
      <c r="B191">
        <v>1.81</v>
      </c>
      <c r="C191" t="s">
        <v>37</v>
      </c>
      <c r="D191" s="24" t="str">
        <f t="shared" ref="D191" si="40">D150</f>
        <v>ecoinvent_remind_SSP2-NDC_2040</v>
      </c>
      <c r="E191" s="304" t="s">
        <v>439</v>
      </c>
      <c r="F191" t="s">
        <v>128</v>
      </c>
      <c r="G191" s="24" t="s">
        <v>33</v>
      </c>
      <c r="H191">
        <v>2</v>
      </c>
      <c r="I191">
        <f>LN(B191)</f>
        <v>0.59332684527773438</v>
      </c>
      <c r="J191" s="151">
        <v>1.22</v>
      </c>
      <c r="K191" t="s">
        <v>31</v>
      </c>
      <c r="L191" t="s">
        <v>31</v>
      </c>
      <c r="M191" t="s">
        <v>31</v>
      </c>
      <c r="AC191" t="e">
        <f t="shared" si="28"/>
        <v>#VALUE!</v>
      </c>
    </row>
    <row r="192" spans="1:29">
      <c r="A192" s="47" t="s">
        <v>558</v>
      </c>
      <c r="B192" s="116">
        <v>4.0000000000000001E-10</v>
      </c>
      <c r="C192" t="s">
        <v>18</v>
      </c>
      <c r="D192" s="24" t="s">
        <v>40</v>
      </c>
      <c r="E192" s="304" t="s">
        <v>439</v>
      </c>
      <c r="F192" t="s">
        <v>58</v>
      </c>
      <c r="G192" s="24" t="s">
        <v>33</v>
      </c>
      <c r="H192">
        <v>2</v>
      </c>
      <c r="I192">
        <f>LN(B192)</f>
        <v>-21.639556568820566</v>
      </c>
      <c r="J192">
        <v>3.9</v>
      </c>
      <c r="K192" t="s">
        <v>31</v>
      </c>
      <c r="L192" t="s">
        <v>31</v>
      </c>
      <c r="M192" t="s">
        <v>31</v>
      </c>
      <c r="AC192" t="e">
        <f t="shared" si="28"/>
        <v>#VALUE!</v>
      </c>
    </row>
    <row r="193" spans="1:29">
      <c r="A193" s="47" t="s">
        <v>542</v>
      </c>
      <c r="B193">
        <v>0.18</v>
      </c>
      <c r="C193" t="s">
        <v>221</v>
      </c>
      <c r="D193" s="24" t="s">
        <v>40</v>
      </c>
      <c r="E193" s="304" t="s">
        <v>439</v>
      </c>
      <c r="F193" t="s">
        <v>128</v>
      </c>
      <c r="G193" s="24" t="s">
        <v>33</v>
      </c>
      <c r="H193">
        <v>0</v>
      </c>
      <c r="I193">
        <f>B193</f>
        <v>0.18</v>
      </c>
      <c r="J193" t="s">
        <v>31</v>
      </c>
      <c r="K193" t="s">
        <v>31</v>
      </c>
      <c r="L193" t="s">
        <v>31</v>
      </c>
      <c r="M193" t="s">
        <v>31</v>
      </c>
      <c r="N193" t="s">
        <v>581</v>
      </c>
      <c r="AC193" t="e">
        <f t="shared" si="28"/>
        <v>#VALUE!</v>
      </c>
    </row>
    <row r="194" spans="1:29">
      <c r="A194" s="22" t="s">
        <v>220</v>
      </c>
      <c r="B194">
        <v>5</v>
      </c>
      <c r="C194" t="s">
        <v>170</v>
      </c>
      <c r="D194" t="s">
        <v>40</v>
      </c>
      <c r="E194" s="304" t="s">
        <v>439</v>
      </c>
      <c r="F194" t="s">
        <v>58</v>
      </c>
      <c r="G194" t="s">
        <v>33</v>
      </c>
      <c r="H194">
        <v>2</v>
      </c>
      <c r="I194">
        <f t="shared" ref="I194" si="41">LN(B194)</f>
        <v>1.6094379124341003</v>
      </c>
      <c r="J194">
        <v>0.3009983388658482</v>
      </c>
      <c r="K194" t="s">
        <v>31</v>
      </c>
      <c r="L194" t="s">
        <v>31</v>
      </c>
      <c r="M194" t="s">
        <v>31</v>
      </c>
      <c r="AC194" t="e">
        <f t="shared" si="28"/>
        <v>#VALUE!</v>
      </c>
    </row>
    <row r="195" spans="1:29">
      <c r="A195" s="47" t="s">
        <v>90</v>
      </c>
      <c r="B195">
        <v>1.2199999999999999E-3</v>
      </c>
      <c r="C195" t="s">
        <v>37</v>
      </c>
      <c r="D195" t="s">
        <v>40</v>
      </c>
      <c r="E195" s="304" t="s">
        <v>439</v>
      </c>
      <c r="F195" t="s">
        <v>35</v>
      </c>
      <c r="G195" s="24" t="s">
        <v>33</v>
      </c>
      <c r="H195">
        <v>2</v>
      </c>
      <c r="I195">
        <f>LN(B195)</f>
        <v>-6.7089044202369719</v>
      </c>
      <c r="J195">
        <v>1.33</v>
      </c>
      <c r="K195" t="s">
        <v>31</v>
      </c>
      <c r="L195" t="s">
        <v>31</v>
      </c>
      <c r="M195" t="s">
        <v>31</v>
      </c>
      <c r="N195" t="s">
        <v>582</v>
      </c>
      <c r="AC195" t="e">
        <f t="shared" si="28"/>
        <v>#VALUE!</v>
      </c>
    </row>
    <row r="196" spans="1:29">
      <c r="A196" s="47" t="s">
        <v>583</v>
      </c>
      <c r="B196">
        <v>4.3899999999999998E-3</v>
      </c>
      <c r="C196" t="s">
        <v>37</v>
      </c>
      <c r="D196" t="s">
        <v>40</v>
      </c>
      <c r="E196" s="304" t="s">
        <v>439</v>
      </c>
      <c r="F196" t="s">
        <v>128</v>
      </c>
      <c r="G196" s="24" t="s">
        <v>33</v>
      </c>
      <c r="H196">
        <v>2</v>
      </c>
      <c r="I196">
        <f t="shared" ref="I196:I201" si="42">LN(B196)</f>
        <v>-5.4284260518950571</v>
      </c>
      <c r="J196">
        <v>1.33</v>
      </c>
      <c r="K196" t="s">
        <v>31</v>
      </c>
      <c r="L196" t="s">
        <v>31</v>
      </c>
      <c r="M196" t="s">
        <v>31</v>
      </c>
      <c r="AC196" t="e">
        <f t="shared" si="28"/>
        <v>#VALUE!</v>
      </c>
    </row>
    <row r="197" spans="1:29">
      <c r="A197" s="47" t="s">
        <v>553</v>
      </c>
      <c r="B197">
        <v>7.0000000000000001E-3</v>
      </c>
      <c r="C197" t="s">
        <v>37</v>
      </c>
      <c r="D197" t="s">
        <v>40</v>
      </c>
      <c r="E197" s="304" t="s">
        <v>439</v>
      </c>
      <c r="F197" t="s">
        <v>58</v>
      </c>
      <c r="G197" s="24" t="s">
        <v>33</v>
      </c>
      <c r="H197">
        <v>2</v>
      </c>
      <c r="I197">
        <f t="shared" si="42"/>
        <v>-4.9618451299268234</v>
      </c>
      <c r="J197">
        <v>2.0499999999999998</v>
      </c>
      <c r="K197" t="s">
        <v>31</v>
      </c>
      <c r="L197" t="s">
        <v>31</v>
      </c>
      <c r="M197" t="s">
        <v>31</v>
      </c>
      <c r="AC197" t="e">
        <f t="shared" si="28"/>
        <v>#VALUE!</v>
      </c>
    </row>
    <row r="198" spans="1:29">
      <c r="A198" s="47" t="s">
        <v>584</v>
      </c>
      <c r="B198">
        <v>8.9300000000000004E-3</v>
      </c>
      <c r="C198" t="s">
        <v>37</v>
      </c>
      <c r="D198" t="s">
        <v>40</v>
      </c>
      <c r="E198" s="304" t="s">
        <v>439</v>
      </c>
      <c r="F198" t="s">
        <v>58</v>
      </c>
      <c r="G198" s="24" t="s">
        <v>33</v>
      </c>
      <c r="H198">
        <v>2</v>
      </c>
      <c r="I198">
        <f t="shared" si="42"/>
        <v>-4.718338884093729</v>
      </c>
      <c r="J198">
        <v>2.0499999999999998</v>
      </c>
      <c r="K198" t="s">
        <v>31</v>
      </c>
      <c r="L198" t="s">
        <v>31</v>
      </c>
      <c r="M198" t="s">
        <v>31</v>
      </c>
      <c r="AC198" t="e">
        <f t="shared" si="28"/>
        <v>#VALUE!</v>
      </c>
    </row>
    <row r="199" spans="1:29">
      <c r="A199" s="47" t="s">
        <v>580</v>
      </c>
      <c r="B199">
        <v>9.2399999999999996E-2</v>
      </c>
      <c r="C199" t="s">
        <v>37</v>
      </c>
      <c r="D199" t="s">
        <v>40</v>
      </c>
      <c r="E199" s="304" t="s">
        <v>439</v>
      </c>
      <c r="F199" t="s">
        <v>128</v>
      </c>
      <c r="G199" s="24" t="s">
        <v>33</v>
      </c>
      <c r="H199">
        <v>2</v>
      </c>
      <c r="I199">
        <f t="shared" si="42"/>
        <v>-2.3816283003344987</v>
      </c>
      <c r="J199">
        <v>2.0499999999999998</v>
      </c>
      <c r="K199" t="s">
        <v>31</v>
      </c>
      <c r="L199" t="s">
        <v>31</v>
      </c>
      <c r="M199" t="s">
        <v>31</v>
      </c>
      <c r="AC199" t="e">
        <f t="shared" si="28"/>
        <v>#VALUE!</v>
      </c>
    </row>
    <row r="200" spans="1:29">
      <c r="A200" s="47" t="s">
        <v>580</v>
      </c>
      <c r="B200">
        <v>1.15E-5</v>
      </c>
      <c r="C200" t="s">
        <v>37</v>
      </c>
      <c r="D200" t="s">
        <v>40</v>
      </c>
      <c r="E200" s="304" t="s">
        <v>439</v>
      </c>
      <c r="F200" t="s">
        <v>128</v>
      </c>
      <c r="G200" s="24" t="s">
        <v>33</v>
      </c>
      <c r="H200">
        <v>2</v>
      </c>
      <c r="I200">
        <f t="shared" si="42"/>
        <v>-11.373163522595069</v>
      </c>
      <c r="J200">
        <v>2.0499999999999998</v>
      </c>
      <c r="K200" t="s">
        <v>31</v>
      </c>
      <c r="L200" t="s">
        <v>31</v>
      </c>
      <c r="M200" t="s">
        <v>31</v>
      </c>
      <c r="N200" s="324" t="s">
        <v>585</v>
      </c>
      <c r="AC200" t="e">
        <f t="shared" si="28"/>
        <v>#VALUE!</v>
      </c>
    </row>
    <row r="201" spans="1:29">
      <c r="A201" s="47" t="s">
        <v>580</v>
      </c>
      <c r="B201">
        <v>8.1999999999999998E-4</v>
      </c>
      <c r="C201" t="s">
        <v>37</v>
      </c>
      <c r="D201" t="s">
        <v>40</v>
      </c>
      <c r="E201" s="304" t="s">
        <v>439</v>
      </c>
      <c r="F201" t="s">
        <v>128</v>
      </c>
      <c r="G201" s="24" t="s">
        <v>33</v>
      </c>
      <c r="H201">
        <v>2</v>
      </c>
      <c r="I201">
        <f t="shared" si="42"/>
        <v>-7.1062062177059753</v>
      </c>
      <c r="J201">
        <v>2.0499999999999998</v>
      </c>
      <c r="K201" t="s">
        <v>31</v>
      </c>
      <c r="L201" t="s">
        <v>31</v>
      </c>
      <c r="M201" t="s">
        <v>31</v>
      </c>
      <c r="N201" t="s">
        <v>586</v>
      </c>
      <c r="AC201" t="e">
        <f t="shared" si="28"/>
        <v>#VALUE!</v>
      </c>
    </row>
    <row r="202" spans="1:29" s="41" customFormat="1">
      <c r="A202" s="300" t="s">
        <v>5</v>
      </c>
      <c r="B202" s="108" t="str">
        <f>A212</f>
        <v>Production of Gas diffusion layer (GDL) and Micro porous layer (MPL)</v>
      </c>
      <c r="C202" s="39"/>
      <c r="AC202">
        <f t="shared" si="28"/>
        <v>0</v>
      </c>
    </row>
    <row r="203" spans="1:29">
      <c r="A203" s="101" t="s">
        <v>7</v>
      </c>
      <c r="B203" t="s">
        <v>439</v>
      </c>
      <c r="C203" s="102"/>
      <c r="AC203">
        <f t="shared" si="28"/>
        <v>0</v>
      </c>
    </row>
    <row r="204" spans="1:29">
      <c r="A204" s="101" t="s">
        <v>9</v>
      </c>
      <c r="B204" s="301" t="s">
        <v>587</v>
      </c>
      <c r="C204" s="102"/>
      <c r="AC204">
        <f t="shared" si="28"/>
        <v>0</v>
      </c>
    </row>
    <row r="205" spans="1:29" ht="50.25" customHeight="1">
      <c r="A205" s="101" t="s">
        <v>11</v>
      </c>
      <c r="B205" s="311" t="s">
        <v>588</v>
      </c>
      <c r="AC205">
        <f t="shared" si="28"/>
        <v>0</v>
      </c>
    </row>
    <row r="206" spans="1:29">
      <c r="A206" s="101" t="s">
        <v>13</v>
      </c>
      <c r="B206" t="s">
        <v>58</v>
      </c>
      <c r="AC206">
        <f t="shared" si="28"/>
        <v>0</v>
      </c>
    </row>
    <row r="207" spans="1:29">
      <c r="A207" s="101" t="s">
        <v>15</v>
      </c>
      <c r="B207">
        <f>B212</f>
        <v>1</v>
      </c>
      <c r="AC207">
        <f t="shared" si="28"/>
        <v>0</v>
      </c>
    </row>
    <row r="208" spans="1:29">
      <c r="A208" s="101" t="s">
        <v>16</v>
      </c>
      <c r="B208" t="s">
        <v>17</v>
      </c>
      <c r="AC208">
        <f t="shared" si="28"/>
        <v>0</v>
      </c>
    </row>
    <row r="209" spans="1:29">
      <c r="A209" s="101" t="s">
        <v>18</v>
      </c>
      <c r="B209" t="str">
        <f>C212</f>
        <v>unit</v>
      </c>
      <c r="AC209">
        <f t="shared" si="28"/>
        <v>0</v>
      </c>
    </row>
    <row r="210" spans="1:29">
      <c r="A210" s="302" t="s">
        <v>19</v>
      </c>
      <c r="AC210">
        <f t="shared" si="28"/>
        <v>0</v>
      </c>
    </row>
    <row r="211" spans="1:29">
      <c r="A211" s="302" t="s">
        <v>20</v>
      </c>
      <c r="B211" s="159" t="s">
        <v>21</v>
      </c>
      <c r="C211" s="159" t="s">
        <v>18</v>
      </c>
      <c r="D211" s="159" t="s">
        <v>22</v>
      </c>
      <c r="E211" s="159" t="s">
        <v>7</v>
      </c>
      <c r="F211" s="159" t="s">
        <v>13</v>
      </c>
      <c r="G211" s="159" t="s">
        <v>16</v>
      </c>
      <c r="H211" s="159" t="s">
        <v>23</v>
      </c>
      <c r="I211" s="159" t="s">
        <v>24</v>
      </c>
      <c r="J211" s="159" t="s">
        <v>25</v>
      </c>
      <c r="K211" s="159" t="s">
        <v>26</v>
      </c>
      <c r="L211" s="159" t="s">
        <v>27</v>
      </c>
      <c r="M211" s="159" t="s">
        <v>28</v>
      </c>
      <c r="AC211" t="e">
        <f t="shared" si="28"/>
        <v>#VALUE!</v>
      </c>
    </row>
    <row r="212" spans="1:29" s="304" customFormat="1">
      <c r="A212" s="303" t="str">
        <f>A79</f>
        <v>Production of Gas diffusion layer (GDL) and Micro porous layer (MPL)</v>
      </c>
      <c r="B212" s="304">
        <v>1</v>
      </c>
      <c r="C212" t="s">
        <v>18</v>
      </c>
      <c r="D212" s="304" t="s">
        <v>2</v>
      </c>
      <c r="E212" s="304" t="s">
        <v>439</v>
      </c>
      <c r="F212" s="304" t="s">
        <v>58</v>
      </c>
      <c r="G212" s="304" t="s">
        <v>30</v>
      </c>
      <c r="H212" s="304">
        <v>1</v>
      </c>
      <c r="I212" s="304">
        <v>1</v>
      </c>
      <c r="J212" s="304" t="s">
        <v>31</v>
      </c>
      <c r="K212" s="304" t="s">
        <v>31</v>
      </c>
      <c r="L212" s="304" t="s">
        <v>31</v>
      </c>
      <c r="M212" s="304" t="s">
        <v>31</v>
      </c>
      <c r="O212" s="305" t="s">
        <v>447</v>
      </c>
      <c r="P212" s="306" t="s">
        <v>448</v>
      </c>
      <c r="Q212" s="306" t="s">
        <v>21</v>
      </c>
      <c r="R212" s="307" t="s">
        <v>449</v>
      </c>
      <c r="T212" s="306" t="s">
        <v>450</v>
      </c>
      <c r="W212" s="304" t="s">
        <v>520</v>
      </c>
      <c r="AC212" t="e">
        <f t="shared" si="28"/>
        <v>#VALUE!</v>
      </c>
    </row>
    <row r="213" spans="1:29">
      <c r="A213" t="s">
        <v>589</v>
      </c>
      <c r="B213">
        <f>R213</f>
        <v>3.3333333333333331E-3</v>
      </c>
      <c r="C213" t="s">
        <v>37</v>
      </c>
      <c r="D213" t="s">
        <v>40</v>
      </c>
      <c r="E213" t="s">
        <v>439</v>
      </c>
      <c r="F213" t="s">
        <v>58</v>
      </c>
      <c r="G213" t="s">
        <v>33</v>
      </c>
      <c r="H213">
        <v>0</v>
      </c>
      <c r="I213">
        <f>B213</f>
        <v>3.3333333333333331E-3</v>
      </c>
      <c r="J213" s="304" t="s">
        <v>31</v>
      </c>
      <c r="K213" s="304" t="s">
        <v>31</v>
      </c>
      <c r="L213" s="304" t="s">
        <v>31</v>
      </c>
      <c r="M213" s="304" t="s">
        <v>31</v>
      </c>
      <c r="O213">
        <v>1</v>
      </c>
      <c r="P213">
        <v>0.9</v>
      </c>
      <c r="Q213">
        <v>3.0000000000000001E-3</v>
      </c>
      <c r="R213" s="309">
        <f>(Q213/P213)*O213</f>
        <v>3.3333333333333331E-3</v>
      </c>
      <c r="AC213" t="e">
        <f t="shared" si="28"/>
        <v>#VALUE!</v>
      </c>
    </row>
    <row r="214" spans="1:29">
      <c r="A214" t="s">
        <v>589</v>
      </c>
      <c r="B214">
        <f t="shared" ref="B214" si="43">R214</f>
        <v>2.4210526315789473E-4</v>
      </c>
      <c r="C214" t="s">
        <v>37</v>
      </c>
      <c r="D214" t="s">
        <v>40</v>
      </c>
      <c r="E214" t="s">
        <v>439</v>
      </c>
      <c r="F214" t="s">
        <v>58</v>
      </c>
      <c r="G214" t="s">
        <v>33</v>
      </c>
      <c r="H214">
        <v>0</v>
      </c>
      <c r="I214">
        <f t="shared" ref="I214:I215" si="44">B214</f>
        <v>2.4210526315789473E-4</v>
      </c>
      <c r="J214" s="304" t="s">
        <v>31</v>
      </c>
      <c r="K214" s="304" t="s">
        <v>31</v>
      </c>
      <c r="L214" s="304" t="s">
        <v>31</v>
      </c>
      <c r="M214" s="304" t="s">
        <v>31</v>
      </c>
      <c r="N214" t="s">
        <v>590</v>
      </c>
      <c r="O214">
        <f>2/3</f>
        <v>0.66666666666666663</v>
      </c>
      <c r="P214">
        <v>0.95</v>
      </c>
      <c r="Q214">
        <v>3.4499999999999998E-4</v>
      </c>
      <c r="R214" s="309">
        <f t="shared" ref="R214" si="45">(Q214/P214)*O214</f>
        <v>2.4210526315789473E-4</v>
      </c>
      <c r="AC214" t="e">
        <f t="shared" si="28"/>
        <v>#VALUE!</v>
      </c>
    </row>
    <row r="215" spans="1:29">
      <c r="A215" t="str">
        <f>A190</f>
        <v>Production of Polytetrafluoroethylene, PTFE reinforcement</v>
      </c>
      <c r="B215">
        <f>R215/1.15</f>
        <v>2.8192219679633871E-4</v>
      </c>
      <c r="C215" t="s">
        <v>18</v>
      </c>
      <c r="D215" s="304" t="s">
        <v>2</v>
      </c>
      <c r="E215" s="304" t="s">
        <v>439</v>
      </c>
      <c r="F215" t="s">
        <v>58</v>
      </c>
      <c r="G215" t="s">
        <v>33</v>
      </c>
      <c r="H215">
        <v>0</v>
      </c>
      <c r="I215">
        <f t="shared" si="44"/>
        <v>2.8192219679633871E-4</v>
      </c>
      <c r="J215" s="304" t="s">
        <v>31</v>
      </c>
      <c r="K215" s="304" t="s">
        <v>31</v>
      </c>
      <c r="L215" s="304" t="s">
        <v>31</v>
      </c>
      <c r="M215" s="304" t="s">
        <v>31</v>
      </c>
      <c r="O215">
        <f>2/3</f>
        <v>0.66666666666666663</v>
      </c>
      <c r="P215">
        <v>9.5000000000000001E-2</v>
      </c>
      <c r="Q215">
        <v>4.6199999999999998E-5</v>
      </c>
      <c r="R215" s="309">
        <f>(Q215/P215)*O215</f>
        <v>3.2421052631578947E-4</v>
      </c>
      <c r="AC215" t="e">
        <f t="shared" si="28"/>
        <v>#VALUE!</v>
      </c>
    </row>
    <row r="216" spans="1:29" s="41" customFormat="1">
      <c r="A216" s="300" t="s">
        <v>5</v>
      </c>
      <c r="B216" s="108" t="str">
        <f>A226</f>
        <v>Production of Subgasket</v>
      </c>
      <c r="C216" s="39"/>
      <c r="AC216">
        <f t="shared" si="28"/>
        <v>0</v>
      </c>
    </row>
    <row r="217" spans="1:29">
      <c r="A217" s="101" t="s">
        <v>7</v>
      </c>
      <c r="B217" t="s">
        <v>439</v>
      </c>
      <c r="C217" s="102"/>
      <c r="AC217">
        <f t="shared" ref="AC217:AC280" si="46">M217-L217</f>
        <v>0</v>
      </c>
    </row>
    <row r="218" spans="1:29">
      <c r="A218" s="101" t="s">
        <v>9</v>
      </c>
      <c r="B218" s="301" t="s">
        <v>591</v>
      </c>
      <c r="C218" s="102"/>
      <c r="AC218">
        <f t="shared" si="46"/>
        <v>0</v>
      </c>
    </row>
    <row r="219" spans="1:29" ht="50.25" customHeight="1">
      <c r="A219" s="101" t="s">
        <v>11</v>
      </c>
      <c r="B219" s="311" t="s">
        <v>592</v>
      </c>
      <c r="AC219">
        <f t="shared" si="46"/>
        <v>0</v>
      </c>
    </row>
    <row r="220" spans="1:29">
      <c r="A220" s="101" t="s">
        <v>13</v>
      </c>
      <c r="B220" t="s">
        <v>58</v>
      </c>
      <c r="AC220">
        <f t="shared" si="46"/>
        <v>0</v>
      </c>
    </row>
    <row r="221" spans="1:29">
      <c r="A221" s="101" t="s">
        <v>15</v>
      </c>
      <c r="B221">
        <f>B226</f>
        <v>1</v>
      </c>
      <c r="AC221">
        <f t="shared" si="46"/>
        <v>0</v>
      </c>
    </row>
    <row r="222" spans="1:29">
      <c r="A222" s="101" t="s">
        <v>16</v>
      </c>
      <c r="B222" t="s">
        <v>17</v>
      </c>
      <c r="AC222">
        <f t="shared" si="46"/>
        <v>0</v>
      </c>
    </row>
    <row r="223" spans="1:29">
      <c r="A223" s="101" t="s">
        <v>18</v>
      </c>
      <c r="B223" t="str">
        <f>C226</f>
        <v>unit</v>
      </c>
      <c r="AC223">
        <f t="shared" si="46"/>
        <v>0</v>
      </c>
    </row>
    <row r="224" spans="1:29">
      <c r="A224" s="302" t="s">
        <v>19</v>
      </c>
      <c r="AC224">
        <f t="shared" si="46"/>
        <v>0</v>
      </c>
    </row>
    <row r="225" spans="1:29">
      <c r="A225" s="302" t="s">
        <v>20</v>
      </c>
      <c r="B225" s="159" t="s">
        <v>21</v>
      </c>
      <c r="C225" s="159" t="s">
        <v>18</v>
      </c>
      <c r="D225" s="159" t="s">
        <v>22</v>
      </c>
      <c r="E225" s="159" t="s">
        <v>7</v>
      </c>
      <c r="F225" s="159" t="s">
        <v>13</v>
      </c>
      <c r="G225" s="159" t="s">
        <v>16</v>
      </c>
      <c r="H225" s="159" t="s">
        <v>23</v>
      </c>
      <c r="I225" s="159" t="s">
        <v>24</v>
      </c>
      <c r="J225" s="159" t="s">
        <v>25</v>
      </c>
      <c r="K225" s="159" t="s">
        <v>26</v>
      </c>
      <c r="L225" s="159" t="s">
        <v>27</v>
      </c>
      <c r="M225" s="159" t="s">
        <v>28</v>
      </c>
      <c r="AC225" t="e">
        <f t="shared" si="46"/>
        <v>#VALUE!</v>
      </c>
    </row>
    <row r="226" spans="1:29" s="304" customFormat="1">
      <c r="A226" s="303" t="str">
        <f>A80</f>
        <v>Production of Subgasket</v>
      </c>
      <c r="B226" s="304">
        <v>1</v>
      </c>
      <c r="C226" t="s">
        <v>18</v>
      </c>
      <c r="D226" s="304" t="s">
        <v>2</v>
      </c>
      <c r="E226" s="304" t="s">
        <v>439</v>
      </c>
      <c r="F226" s="304" t="s">
        <v>58</v>
      </c>
      <c r="G226" s="304" t="s">
        <v>30</v>
      </c>
      <c r="H226" s="304">
        <v>1</v>
      </c>
      <c r="I226" s="304">
        <v>1</v>
      </c>
      <c r="J226" s="304" t="s">
        <v>31</v>
      </c>
      <c r="K226" s="304" t="s">
        <v>31</v>
      </c>
      <c r="L226" s="304" t="s">
        <v>31</v>
      </c>
      <c r="M226" s="304" t="s">
        <v>31</v>
      </c>
      <c r="O226" s="305" t="s">
        <v>447</v>
      </c>
      <c r="P226" s="306" t="s">
        <v>448</v>
      </c>
      <c r="Q226" s="306" t="s">
        <v>21</v>
      </c>
      <c r="R226" s="307" t="s">
        <v>449</v>
      </c>
      <c r="T226" s="306" t="s">
        <v>450</v>
      </c>
      <c r="W226" s="304" t="s">
        <v>520</v>
      </c>
      <c r="AC226" t="e">
        <f t="shared" si="46"/>
        <v>#VALUE!</v>
      </c>
    </row>
    <row r="227" spans="1:29">
      <c r="A227" s="47" t="s">
        <v>593</v>
      </c>
      <c r="B227">
        <f>R227</f>
        <v>6.6E-3</v>
      </c>
      <c r="C227" t="s">
        <v>37</v>
      </c>
      <c r="D227" t="s">
        <v>40</v>
      </c>
      <c r="E227" t="s">
        <v>439</v>
      </c>
      <c r="F227" t="s">
        <v>58</v>
      </c>
      <c r="G227" t="s">
        <v>33</v>
      </c>
      <c r="H227">
        <v>5</v>
      </c>
      <c r="I227">
        <f>B227</f>
        <v>6.6E-3</v>
      </c>
      <c r="J227" s="304" t="s">
        <v>31</v>
      </c>
      <c r="K227" s="304" t="s">
        <v>31</v>
      </c>
      <c r="L227">
        <f>0.8*B227</f>
        <v>5.28E-3</v>
      </c>
      <c r="M227">
        <f>1.2*B227</f>
        <v>7.92E-3</v>
      </c>
      <c r="N227" t="s">
        <v>594</v>
      </c>
      <c r="O227">
        <v>1</v>
      </c>
      <c r="P227">
        <v>0.5</v>
      </c>
      <c r="Q227">
        <f>0.001*W227</f>
        <v>3.3E-3</v>
      </c>
      <c r="R227" s="309">
        <f t="shared" ref="R227" si="47">(Q227/P227)*O227</f>
        <v>6.6E-3</v>
      </c>
      <c r="T227" t="s">
        <v>595</v>
      </c>
      <c r="W227">
        <v>3.3</v>
      </c>
      <c r="X227" t="s">
        <v>575</v>
      </c>
      <c r="AC227">
        <f t="shared" si="46"/>
        <v>2.64E-3</v>
      </c>
    </row>
    <row r="228" spans="1:29" s="41" customFormat="1">
      <c r="A228" s="300" t="s">
        <v>5</v>
      </c>
      <c r="B228" s="108" t="str">
        <f>A238</f>
        <v>Production of planar Interconnect / Bipolar plates (BPP)</v>
      </c>
      <c r="C228" s="39"/>
      <c r="AC228">
        <f t="shared" si="46"/>
        <v>0</v>
      </c>
    </row>
    <row r="229" spans="1:29">
      <c r="A229" s="101" t="s">
        <v>7</v>
      </c>
      <c r="B229" t="s">
        <v>439</v>
      </c>
      <c r="C229" s="102"/>
      <c r="AC229">
        <f t="shared" si="46"/>
        <v>0</v>
      </c>
    </row>
    <row r="230" spans="1:29">
      <c r="A230" s="101" t="s">
        <v>9</v>
      </c>
      <c r="B230" s="301" t="s">
        <v>596</v>
      </c>
      <c r="C230" s="102"/>
      <c r="AC230">
        <f t="shared" si="46"/>
        <v>0</v>
      </c>
    </row>
    <row r="231" spans="1:29" ht="50.25" customHeight="1">
      <c r="A231" s="101" t="s">
        <v>11</v>
      </c>
      <c r="B231" s="311" t="s">
        <v>597</v>
      </c>
      <c r="AC231">
        <f t="shared" si="46"/>
        <v>0</v>
      </c>
    </row>
    <row r="232" spans="1:29">
      <c r="A232" s="101" t="s">
        <v>13</v>
      </c>
      <c r="B232" t="s">
        <v>14</v>
      </c>
      <c r="AC232">
        <f t="shared" si="46"/>
        <v>0</v>
      </c>
    </row>
    <row r="233" spans="1:29">
      <c r="A233" s="101" t="s">
        <v>15</v>
      </c>
      <c r="B233">
        <f>B238</f>
        <v>1</v>
      </c>
      <c r="AC233">
        <f t="shared" si="46"/>
        <v>0</v>
      </c>
    </row>
    <row r="234" spans="1:29">
      <c r="A234" s="101" t="s">
        <v>16</v>
      </c>
      <c r="B234" t="s">
        <v>17</v>
      </c>
      <c r="AC234">
        <f t="shared" si="46"/>
        <v>0</v>
      </c>
    </row>
    <row r="235" spans="1:29">
      <c r="A235" s="101" t="s">
        <v>18</v>
      </c>
      <c r="B235" t="str">
        <f>C238</f>
        <v>unit</v>
      </c>
      <c r="AC235">
        <f t="shared" si="46"/>
        <v>0</v>
      </c>
    </row>
    <row r="236" spans="1:29">
      <c r="A236" s="302" t="s">
        <v>19</v>
      </c>
      <c r="AC236">
        <f t="shared" si="46"/>
        <v>0</v>
      </c>
    </row>
    <row r="237" spans="1:29">
      <c r="A237" s="302" t="s">
        <v>20</v>
      </c>
      <c r="B237" s="159" t="s">
        <v>21</v>
      </c>
      <c r="C237" s="159" t="s">
        <v>18</v>
      </c>
      <c r="D237" s="159" t="s">
        <v>22</v>
      </c>
      <c r="E237" s="159" t="s">
        <v>7</v>
      </c>
      <c r="F237" s="159" t="s">
        <v>13</v>
      </c>
      <c r="G237" s="159" t="s">
        <v>16</v>
      </c>
      <c r="H237" s="159" t="s">
        <v>23</v>
      </c>
      <c r="I237" s="159" t="s">
        <v>24</v>
      </c>
      <c r="J237" s="159" t="s">
        <v>25</v>
      </c>
      <c r="K237" s="159" t="s">
        <v>26</v>
      </c>
      <c r="L237" s="159" t="s">
        <v>27</v>
      </c>
      <c r="M237" s="159" t="s">
        <v>28</v>
      </c>
      <c r="AC237" t="e">
        <f t="shared" si="46"/>
        <v>#VALUE!</v>
      </c>
    </row>
    <row r="238" spans="1:29" s="304" customFormat="1">
      <c r="A238" s="303" t="str">
        <f>A52</f>
        <v>Production of planar Interconnect / Bipolar plates (BPP)</v>
      </c>
      <c r="B238" s="304">
        <v>1</v>
      </c>
      <c r="C238" t="s">
        <v>18</v>
      </c>
      <c r="D238" s="304" t="s">
        <v>2</v>
      </c>
      <c r="E238" s="304" t="s">
        <v>439</v>
      </c>
      <c r="F238" s="304" t="s">
        <v>14</v>
      </c>
      <c r="G238" s="304" t="s">
        <v>30</v>
      </c>
      <c r="H238" s="304">
        <v>1</v>
      </c>
      <c r="I238" s="304">
        <v>1</v>
      </c>
      <c r="J238" s="304" t="s">
        <v>31</v>
      </c>
      <c r="K238" s="304" t="s">
        <v>31</v>
      </c>
      <c r="L238" s="304" t="s">
        <v>31</v>
      </c>
      <c r="M238" s="304" t="s">
        <v>31</v>
      </c>
      <c r="O238" s="305" t="s">
        <v>447</v>
      </c>
      <c r="P238" s="306" t="s">
        <v>448</v>
      </c>
      <c r="Q238" s="306" t="s">
        <v>21</v>
      </c>
      <c r="R238" s="307" t="s">
        <v>449</v>
      </c>
      <c r="T238" s="306" t="s">
        <v>450</v>
      </c>
      <c r="W238" s="304" t="s">
        <v>520</v>
      </c>
      <c r="AC238" t="e">
        <f t="shared" si="46"/>
        <v>#VALUE!</v>
      </c>
    </row>
    <row r="239" spans="1:29">
      <c r="A239" s="47" t="s">
        <v>598</v>
      </c>
      <c r="B239">
        <f>R239</f>
        <v>6.239999999999999E-2</v>
      </c>
      <c r="C239" t="s">
        <v>37</v>
      </c>
      <c r="D239" t="s">
        <v>40</v>
      </c>
      <c r="E239" t="s">
        <v>439</v>
      </c>
      <c r="F239" t="s">
        <v>58</v>
      </c>
      <c r="G239" t="s">
        <v>33</v>
      </c>
      <c r="H239">
        <v>5</v>
      </c>
      <c r="I239">
        <f>B239</f>
        <v>6.239999999999999E-2</v>
      </c>
      <c r="J239" s="304" t="s">
        <v>31</v>
      </c>
      <c r="K239" s="304" t="s">
        <v>31</v>
      </c>
      <c r="L239">
        <f>0.8*B239</f>
        <v>4.9919999999999992E-2</v>
      </c>
      <c r="M239">
        <f>1.2*B239</f>
        <v>7.4879999999999988E-2</v>
      </c>
      <c r="O239">
        <v>1</v>
      </c>
      <c r="P239">
        <v>0.9</v>
      </c>
      <c r="Q239">
        <f>Y239</f>
        <v>5.6159999999999995E-2</v>
      </c>
      <c r="R239" s="309">
        <f t="shared" ref="R239:R243" si="48">(Q239/P239)*O239</f>
        <v>6.239999999999999E-2</v>
      </c>
      <c r="T239" s="325" t="s">
        <v>599</v>
      </c>
      <c r="W239" s="325">
        <v>56.16</v>
      </c>
      <c r="X239" s="326" t="s">
        <v>575</v>
      </c>
      <c r="Y239">
        <f>0.001*W239</f>
        <v>5.6159999999999995E-2</v>
      </c>
      <c r="Z239" t="s">
        <v>221</v>
      </c>
      <c r="AC239">
        <f t="shared" si="46"/>
        <v>2.4959999999999996E-2</v>
      </c>
    </row>
    <row r="240" spans="1:29">
      <c r="A240" s="47" t="s">
        <v>600</v>
      </c>
      <c r="B240">
        <f t="shared" ref="B240:B243" si="49">R240</f>
        <v>6.239999999999999E-2</v>
      </c>
      <c r="C240" t="s">
        <v>37</v>
      </c>
      <c r="D240" t="s">
        <v>40</v>
      </c>
      <c r="E240" t="s">
        <v>439</v>
      </c>
      <c r="F240" t="s">
        <v>58</v>
      </c>
      <c r="G240" t="s">
        <v>33</v>
      </c>
      <c r="H240">
        <v>5</v>
      </c>
      <c r="I240">
        <f t="shared" ref="I240:I242" si="50">B240</f>
        <v>6.239999999999999E-2</v>
      </c>
      <c r="J240" s="304" t="s">
        <v>31</v>
      </c>
      <c r="K240" s="304" t="s">
        <v>31</v>
      </c>
      <c r="L240">
        <f>0.8*B240</f>
        <v>4.9919999999999992E-2</v>
      </c>
      <c r="M240">
        <f>1.2*B240</f>
        <v>7.4879999999999988E-2</v>
      </c>
      <c r="O240">
        <v>1</v>
      </c>
      <c r="P240">
        <v>0.9</v>
      </c>
      <c r="Q240">
        <f>Y240</f>
        <v>5.6159999999999995E-2</v>
      </c>
      <c r="R240" s="309">
        <f t="shared" si="48"/>
        <v>6.239999999999999E-2</v>
      </c>
      <c r="T240" s="325" t="s">
        <v>599</v>
      </c>
      <c r="W240" s="325">
        <v>56.16</v>
      </c>
      <c r="X240" s="326" t="s">
        <v>575</v>
      </c>
      <c r="Y240">
        <f t="shared" ref="Y240:Y242" si="51">0.001*W240</f>
        <v>5.6159999999999995E-2</v>
      </c>
      <c r="Z240" t="s">
        <v>221</v>
      </c>
      <c r="AC240">
        <f t="shared" si="46"/>
        <v>2.4959999999999996E-2</v>
      </c>
    </row>
    <row r="241" spans="1:29">
      <c r="A241" s="327" t="s">
        <v>601</v>
      </c>
      <c r="B241">
        <f t="shared" si="49"/>
        <v>3.4874074074074078E-3</v>
      </c>
      <c r="C241" t="s">
        <v>37</v>
      </c>
      <c r="D241" t="s">
        <v>40</v>
      </c>
      <c r="E241" t="s">
        <v>439</v>
      </c>
      <c r="F241" t="s">
        <v>128</v>
      </c>
      <c r="G241" t="s">
        <v>33</v>
      </c>
      <c r="H241">
        <v>5</v>
      </c>
      <c r="I241">
        <f t="shared" si="50"/>
        <v>3.4874074074074078E-3</v>
      </c>
      <c r="J241" s="304" t="s">
        <v>31</v>
      </c>
      <c r="K241" s="304" t="s">
        <v>31</v>
      </c>
      <c r="L241">
        <f>0.7*B241</f>
        <v>2.4411851851851851E-3</v>
      </c>
      <c r="M241">
        <f>1.3*B241</f>
        <v>4.5336296296296305E-3</v>
      </c>
      <c r="O241">
        <f>20/15</f>
        <v>1.3333333333333333</v>
      </c>
      <c r="P241">
        <v>0.9</v>
      </c>
      <c r="Q241">
        <f>Y241</f>
        <v>2.3540000000000002E-3</v>
      </c>
      <c r="R241" s="309">
        <f t="shared" si="48"/>
        <v>3.4874074074074078E-3</v>
      </c>
      <c r="T241" s="325" t="s">
        <v>602</v>
      </c>
      <c r="W241" s="325">
        <v>2.3540000000000001</v>
      </c>
      <c r="X241" s="326" t="s">
        <v>575</v>
      </c>
      <c r="Y241">
        <f t="shared" si="51"/>
        <v>2.3540000000000002E-3</v>
      </c>
      <c r="Z241" t="s">
        <v>221</v>
      </c>
      <c r="AC241">
        <f t="shared" si="46"/>
        <v>2.0924444444444454E-3</v>
      </c>
    </row>
    <row r="242" spans="1:29">
      <c r="A242" s="47" t="s">
        <v>521</v>
      </c>
      <c r="B242">
        <f t="shared" si="49"/>
        <v>1.1111111111111112E-5</v>
      </c>
      <c r="C242" t="s">
        <v>37</v>
      </c>
      <c r="D242" t="s">
        <v>40</v>
      </c>
      <c r="E242" t="s">
        <v>439</v>
      </c>
      <c r="F242" t="s">
        <v>58</v>
      </c>
      <c r="G242" t="s">
        <v>33</v>
      </c>
      <c r="H242">
        <v>5</v>
      </c>
      <c r="I242">
        <f t="shared" si="50"/>
        <v>1.1111111111111112E-5</v>
      </c>
      <c r="J242" s="304" t="s">
        <v>31</v>
      </c>
      <c r="K242" s="304" t="s">
        <v>31</v>
      </c>
      <c r="L242">
        <f>0</f>
        <v>0</v>
      </c>
      <c r="M242">
        <f>2*B242</f>
        <v>2.2222222222222223E-5</v>
      </c>
      <c r="O242">
        <v>1</v>
      </c>
      <c r="P242">
        <v>0.9</v>
      </c>
      <c r="Q242">
        <f>Y242</f>
        <v>1.0000000000000001E-5</v>
      </c>
      <c r="R242" s="309">
        <f t="shared" si="48"/>
        <v>1.1111111111111112E-5</v>
      </c>
      <c r="T242" s="325" t="s">
        <v>603</v>
      </c>
      <c r="W242" s="325">
        <v>0.01</v>
      </c>
      <c r="X242" s="326" t="s">
        <v>575</v>
      </c>
      <c r="Y242">
        <f t="shared" si="51"/>
        <v>1.0000000000000001E-5</v>
      </c>
      <c r="Z242" t="s">
        <v>221</v>
      </c>
      <c r="AC242">
        <f t="shared" si="46"/>
        <v>2.2222222222222223E-5</v>
      </c>
    </row>
    <row r="243" spans="1:29">
      <c r="A243" s="47" t="s">
        <v>604</v>
      </c>
      <c r="B243">
        <f t="shared" si="49"/>
        <v>3.5999999999999997E-2</v>
      </c>
      <c r="C243" t="s">
        <v>113</v>
      </c>
      <c r="D243" t="s">
        <v>40</v>
      </c>
      <c r="E243" t="s">
        <v>439</v>
      </c>
      <c r="F243" t="s">
        <v>128</v>
      </c>
      <c r="G243" t="s">
        <v>33</v>
      </c>
      <c r="H243">
        <v>0</v>
      </c>
      <c r="I243">
        <f>B243</f>
        <v>3.5999999999999997E-2</v>
      </c>
      <c r="J243" s="304" t="s">
        <v>31</v>
      </c>
      <c r="K243" s="304" t="s">
        <v>31</v>
      </c>
      <c r="L243" s="304" t="s">
        <v>31</v>
      </c>
      <c r="M243" s="304" t="s">
        <v>31</v>
      </c>
      <c r="O243">
        <v>1</v>
      </c>
      <c r="P243">
        <v>1</v>
      </c>
      <c r="Q243">
        <f>W243</f>
        <v>3.5999999999999997E-2</v>
      </c>
      <c r="R243" s="309">
        <f t="shared" si="48"/>
        <v>3.5999999999999997E-2</v>
      </c>
      <c r="W243" s="325">
        <v>3.5999999999999997E-2</v>
      </c>
      <c r="X243" s="326" t="s">
        <v>605</v>
      </c>
      <c r="AC243" t="e">
        <f t="shared" si="46"/>
        <v>#VALUE!</v>
      </c>
    </row>
    <row r="244" spans="1:29" s="41" customFormat="1">
      <c r="A244" s="300" t="s">
        <v>5</v>
      </c>
      <c r="B244" s="108" t="str">
        <f>A254</f>
        <v>Production of Casing/end plates</v>
      </c>
      <c r="C244" s="39"/>
      <c r="AC244">
        <f t="shared" si="46"/>
        <v>0</v>
      </c>
    </row>
    <row r="245" spans="1:29">
      <c r="A245" s="101" t="s">
        <v>7</v>
      </c>
      <c r="B245" t="s">
        <v>439</v>
      </c>
      <c r="C245" s="102"/>
      <c r="AC245">
        <f t="shared" si="46"/>
        <v>0</v>
      </c>
    </row>
    <row r="246" spans="1:29">
      <c r="A246" s="101" t="s">
        <v>9</v>
      </c>
      <c r="B246" s="301" t="s">
        <v>606</v>
      </c>
      <c r="C246" s="102"/>
      <c r="AC246">
        <f t="shared" si="46"/>
        <v>0</v>
      </c>
    </row>
    <row r="247" spans="1:29" ht="50.25" customHeight="1">
      <c r="A247" s="101" t="s">
        <v>11</v>
      </c>
      <c r="B247" s="311" t="s">
        <v>607</v>
      </c>
      <c r="AC247">
        <f t="shared" si="46"/>
        <v>0</v>
      </c>
    </row>
    <row r="248" spans="1:29">
      <c r="A248" s="101" t="s">
        <v>13</v>
      </c>
      <c r="B248" t="s">
        <v>14</v>
      </c>
      <c r="AC248">
        <f t="shared" si="46"/>
        <v>0</v>
      </c>
    </row>
    <row r="249" spans="1:29">
      <c r="A249" s="101" t="s">
        <v>15</v>
      </c>
      <c r="B249">
        <f>B254</f>
        <v>1</v>
      </c>
      <c r="AC249">
        <f t="shared" si="46"/>
        <v>0</v>
      </c>
    </row>
    <row r="250" spans="1:29">
      <c r="A250" s="101" t="s">
        <v>16</v>
      </c>
      <c r="B250" t="s">
        <v>17</v>
      </c>
      <c r="AC250">
        <f t="shared" si="46"/>
        <v>0</v>
      </c>
    </row>
    <row r="251" spans="1:29">
      <c r="A251" s="101" t="s">
        <v>18</v>
      </c>
      <c r="B251" t="str">
        <f>C254</f>
        <v>unit</v>
      </c>
      <c r="AC251">
        <f t="shared" si="46"/>
        <v>0</v>
      </c>
    </row>
    <row r="252" spans="1:29">
      <c r="A252" s="302" t="s">
        <v>19</v>
      </c>
      <c r="AC252">
        <f t="shared" si="46"/>
        <v>0</v>
      </c>
    </row>
    <row r="253" spans="1:29">
      <c r="A253" s="302" t="s">
        <v>20</v>
      </c>
      <c r="B253" s="159" t="s">
        <v>21</v>
      </c>
      <c r="C253" s="159" t="s">
        <v>18</v>
      </c>
      <c r="D253" s="159" t="s">
        <v>22</v>
      </c>
      <c r="E253" s="159" t="s">
        <v>7</v>
      </c>
      <c r="F253" s="159" t="s">
        <v>13</v>
      </c>
      <c r="G253" s="159" t="s">
        <v>16</v>
      </c>
      <c r="H253" s="159" t="s">
        <v>23</v>
      </c>
      <c r="I253" s="328" t="s">
        <v>24</v>
      </c>
      <c r="J253" s="328" t="s">
        <v>25</v>
      </c>
      <c r="K253" s="328" t="s">
        <v>26</v>
      </c>
      <c r="L253" s="328" t="s">
        <v>27</v>
      </c>
      <c r="M253" s="328" t="s">
        <v>28</v>
      </c>
      <c r="AC253" t="e">
        <f t="shared" si="46"/>
        <v>#VALUE!</v>
      </c>
    </row>
    <row r="254" spans="1:29" s="304" customFormat="1">
      <c r="A254" s="303" t="str">
        <f>A53</f>
        <v>Production of Casing/end plates</v>
      </c>
      <c r="B254" s="304">
        <v>1</v>
      </c>
      <c r="C254" t="s">
        <v>18</v>
      </c>
      <c r="D254" s="304" t="s">
        <v>2</v>
      </c>
      <c r="E254" s="304" t="s">
        <v>439</v>
      </c>
      <c r="F254" s="304" t="s">
        <v>14</v>
      </c>
      <c r="G254" s="304" t="s">
        <v>30</v>
      </c>
      <c r="H254" s="304">
        <v>1</v>
      </c>
      <c r="I254" s="304">
        <v>1</v>
      </c>
      <c r="J254" s="304" t="s">
        <v>31</v>
      </c>
      <c r="K254" s="304" t="s">
        <v>31</v>
      </c>
      <c r="L254" s="304" t="s">
        <v>31</v>
      </c>
      <c r="M254" s="304" t="s">
        <v>31</v>
      </c>
      <c r="O254" s="305" t="s">
        <v>447</v>
      </c>
      <c r="P254" s="306" t="s">
        <v>448</v>
      </c>
      <c r="Q254" s="306" t="s">
        <v>21</v>
      </c>
      <c r="R254" s="307" t="s">
        <v>449</v>
      </c>
      <c r="T254" s="306" t="s">
        <v>450</v>
      </c>
      <c r="W254" s="304" t="s">
        <v>520</v>
      </c>
      <c r="AC254" t="e">
        <f t="shared" si="46"/>
        <v>#VALUE!</v>
      </c>
    </row>
    <row r="255" spans="1:29">
      <c r="A255" s="47" t="s">
        <v>608</v>
      </c>
      <c r="B255">
        <f>R255</f>
        <v>1.776842105263158</v>
      </c>
      <c r="C255" t="s">
        <v>37</v>
      </c>
      <c r="D255" t="s">
        <v>40</v>
      </c>
      <c r="E255" t="s">
        <v>439</v>
      </c>
      <c r="F255" t="s">
        <v>128</v>
      </c>
      <c r="G255" t="s">
        <v>33</v>
      </c>
      <c r="H255">
        <v>5</v>
      </c>
      <c r="I255">
        <f>B255</f>
        <v>1.776842105263158</v>
      </c>
      <c r="J255" s="304" t="s">
        <v>31</v>
      </c>
      <c r="K255" s="304" t="s">
        <v>31</v>
      </c>
      <c r="L255">
        <f>0.5*B255</f>
        <v>0.888421052631579</v>
      </c>
      <c r="M255">
        <f>1.5*B255</f>
        <v>2.6652631578947368</v>
      </c>
      <c r="O255">
        <v>1</v>
      </c>
      <c r="P255">
        <v>0.95</v>
      </c>
      <c r="Q255" s="329">
        <v>1.6879999999999999</v>
      </c>
      <c r="R255" s="309">
        <f t="shared" ref="R255:R256" si="52">(Q255/P255)*O255</f>
        <v>1.776842105263158</v>
      </c>
      <c r="T255" t="s">
        <v>609</v>
      </c>
      <c r="AC255">
        <f t="shared" si="46"/>
        <v>1.7768421052631578</v>
      </c>
    </row>
    <row r="256" spans="1:29">
      <c r="A256" s="47" t="s">
        <v>610</v>
      </c>
      <c r="B256">
        <f>R256</f>
        <v>1.6879999999999999</v>
      </c>
      <c r="C256" t="s">
        <v>37</v>
      </c>
      <c r="D256" t="s">
        <v>40</v>
      </c>
      <c r="E256" t="s">
        <v>439</v>
      </c>
      <c r="F256" t="s">
        <v>58</v>
      </c>
      <c r="G256" t="s">
        <v>33</v>
      </c>
      <c r="H256">
        <v>0</v>
      </c>
      <c r="I256">
        <f>B256</f>
        <v>1.6879999999999999</v>
      </c>
      <c r="J256" t="s">
        <v>31</v>
      </c>
      <c r="K256" t="s">
        <v>31</v>
      </c>
      <c r="L256" t="s">
        <v>31</v>
      </c>
      <c r="M256" t="s">
        <v>31</v>
      </c>
      <c r="O256">
        <v>1</v>
      </c>
      <c r="P256">
        <v>1</v>
      </c>
      <c r="Q256" s="329">
        <v>1.6879999999999999</v>
      </c>
      <c r="R256" s="309">
        <f t="shared" si="52"/>
        <v>1.6879999999999999</v>
      </c>
      <c r="AC256" t="e">
        <f t="shared" si="46"/>
        <v>#VALUE!</v>
      </c>
    </row>
    <row r="257" spans="1:29" s="41" customFormat="1">
      <c r="A257" s="300" t="s">
        <v>5</v>
      </c>
      <c r="B257" s="108" t="str">
        <f>A267</f>
        <v>productionof Gas delivery ports / Media insets</v>
      </c>
      <c r="C257" s="39"/>
      <c r="AC257">
        <f t="shared" si="46"/>
        <v>0</v>
      </c>
    </row>
    <row r="258" spans="1:29">
      <c r="A258" s="101" t="s">
        <v>7</v>
      </c>
      <c r="B258" t="s">
        <v>439</v>
      </c>
      <c r="C258" s="102"/>
      <c r="AC258">
        <f t="shared" si="46"/>
        <v>0</v>
      </c>
    </row>
    <row r="259" spans="1:29">
      <c r="A259" s="101" t="s">
        <v>9</v>
      </c>
      <c r="B259" s="301" t="s">
        <v>611</v>
      </c>
      <c r="C259" s="102"/>
      <c r="AC259">
        <f t="shared" si="46"/>
        <v>0</v>
      </c>
    </row>
    <row r="260" spans="1:29" ht="50.25" customHeight="1">
      <c r="A260" s="101" t="s">
        <v>11</v>
      </c>
      <c r="B260" s="311" t="s">
        <v>612</v>
      </c>
      <c r="AC260">
        <f t="shared" si="46"/>
        <v>0</v>
      </c>
    </row>
    <row r="261" spans="1:29">
      <c r="A261" s="101" t="s">
        <v>13</v>
      </c>
      <c r="B261" t="s">
        <v>58</v>
      </c>
      <c r="AC261">
        <f t="shared" si="46"/>
        <v>0</v>
      </c>
    </row>
    <row r="262" spans="1:29">
      <c r="A262" s="101" t="s">
        <v>15</v>
      </c>
      <c r="B262">
        <f>B267</f>
        <v>1</v>
      </c>
      <c r="AC262">
        <f t="shared" si="46"/>
        <v>0</v>
      </c>
    </row>
    <row r="263" spans="1:29">
      <c r="A263" s="101" t="s">
        <v>16</v>
      </c>
      <c r="B263" t="s">
        <v>17</v>
      </c>
      <c r="AC263">
        <f t="shared" si="46"/>
        <v>0</v>
      </c>
    </row>
    <row r="264" spans="1:29">
      <c r="A264" s="101" t="s">
        <v>18</v>
      </c>
      <c r="B264" t="str">
        <f>C267</f>
        <v>unit</v>
      </c>
      <c r="AC264">
        <f t="shared" si="46"/>
        <v>0</v>
      </c>
    </row>
    <row r="265" spans="1:29">
      <c r="A265" s="302" t="s">
        <v>19</v>
      </c>
      <c r="AC265">
        <f t="shared" si="46"/>
        <v>0</v>
      </c>
    </row>
    <row r="266" spans="1:29">
      <c r="A266" s="302" t="s">
        <v>20</v>
      </c>
      <c r="B266" s="159" t="s">
        <v>21</v>
      </c>
      <c r="C266" s="159" t="s">
        <v>18</v>
      </c>
      <c r="D266" s="159" t="s">
        <v>22</v>
      </c>
      <c r="E266" s="159" t="s">
        <v>7</v>
      </c>
      <c r="F266" s="159" t="s">
        <v>13</v>
      </c>
      <c r="G266" s="159" t="s">
        <v>16</v>
      </c>
      <c r="H266" s="159" t="s">
        <v>23</v>
      </c>
      <c r="I266" s="328" t="s">
        <v>24</v>
      </c>
      <c r="J266" s="328" t="s">
        <v>25</v>
      </c>
      <c r="K266" s="328" t="s">
        <v>26</v>
      </c>
      <c r="L266" s="328" t="s">
        <v>27</v>
      </c>
      <c r="M266" s="328" t="s">
        <v>28</v>
      </c>
      <c r="AC266" t="e">
        <f t="shared" si="46"/>
        <v>#VALUE!</v>
      </c>
    </row>
    <row r="267" spans="1:29" s="304" customFormat="1">
      <c r="A267" s="303" t="str">
        <f>A54</f>
        <v>productionof Gas delivery ports / Media insets</v>
      </c>
      <c r="B267" s="304">
        <v>1</v>
      </c>
      <c r="C267" t="s">
        <v>18</v>
      </c>
      <c r="D267" s="304" t="s">
        <v>2</v>
      </c>
      <c r="E267" s="304" t="s">
        <v>439</v>
      </c>
      <c r="F267" s="304" t="s">
        <v>58</v>
      </c>
      <c r="G267" s="304" t="s">
        <v>30</v>
      </c>
      <c r="H267" s="304">
        <v>1</v>
      </c>
      <c r="I267" s="304">
        <v>1</v>
      </c>
      <c r="J267" s="304" t="s">
        <v>31</v>
      </c>
      <c r="K267" s="304" t="s">
        <v>31</v>
      </c>
      <c r="L267" s="304" t="s">
        <v>31</v>
      </c>
      <c r="M267" s="304" t="s">
        <v>31</v>
      </c>
      <c r="O267" s="305" t="s">
        <v>447</v>
      </c>
      <c r="P267" s="306" t="s">
        <v>448</v>
      </c>
      <c r="Q267" s="306" t="s">
        <v>21</v>
      </c>
      <c r="R267" s="307" t="s">
        <v>449</v>
      </c>
      <c r="T267" s="306" t="s">
        <v>450</v>
      </c>
      <c r="W267" s="304" t="s">
        <v>520</v>
      </c>
      <c r="AC267" t="e">
        <f t="shared" si="46"/>
        <v>#VALUE!</v>
      </c>
    </row>
    <row r="268" spans="1:29">
      <c r="A268" s="47" t="s">
        <v>608</v>
      </c>
      <c r="B268">
        <f>R268</f>
        <v>0.06</v>
      </c>
      <c r="C268" t="s">
        <v>37</v>
      </c>
      <c r="D268" t="s">
        <v>40</v>
      </c>
      <c r="E268" t="s">
        <v>439</v>
      </c>
      <c r="F268" t="s">
        <v>128</v>
      </c>
      <c r="G268" t="s">
        <v>33</v>
      </c>
      <c r="H268">
        <v>5</v>
      </c>
      <c r="I268">
        <f>B268</f>
        <v>0.06</v>
      </c>
      <c r="J268" s="304" t="s">
        <v>31</v>
      </c>
      <c r="K268" s="304" t="s">
        <v>31</v>
      </c>
      <c r="L268">
        <f>0.5*B268</f>
        <v>0.03</v>
      </c>
      <c r="M268">
        <f>1.5*B268</f>
        <v>0.09</v>
      </c>
      <c r="O268">
        <v>1</v>
      </c>
      <c r="P268">
        <v>0.9</v>
      </c>
      <c r="Q268" s="329">
        <f>Y268</f>
        <v>5.3999999999999999E-2</v>
      </c>
      <c r="R268" s="309">
        <f t="shared" ref="R268" si="53">(Q268/P268)*O268</f>
        <v>0.06</v>
      </c>
      <c r="T268" t="s">
        <v>613</v>
      </c>
      <c r="W268">
        <v>54</v>
      </c>
      <c r="X268" t="s">
        <v>575</v>
      </c>
      <c r="Y268">
        <f>0.001*W268</f>
        <v>5.3999999999999999E-2</v>
      </c>
      <c r="Z268" t="s">
        <v>221</v>
      </c>
      <c r="AC268">
        <f t="shared" si="46"/>
        <v>0.06</v>
      </c>
    </row>
    <row r="269" spans="1:29" s="41" customFormat="1">
      <c r="A269" s="300" t="s">
        <v>5</v>
      </c>
      <c r="B269" s="108" t="str">
        <f>A279</f>
        <v>Production of Clamping / compression system</v>
      </c>
      <c r="C269" s="39"/>
      <c r="AC269">
        <f t="shared" si="46"/>
        <v>0</v>
      </c>
    </row>
    <row r="270" spans="1:29">
      <c r="A270" s="101" t="s">
        <v>7</v>
      </c>
      <c r="B270" t="s">
        <v>439</v>
      </c>
      <c r="C270" s="102"/>
      <c r="AC270">
        <f t="shared" si="46"/>
        <v>0</v>
      </c>
    </row>
    <row r="271" spans="1:29">
      <c r="A271" s="101" t="s">
        <v>9</v>
      </c>
      <c r="B271" s="301" t="s">
        <v>614</v>
      </c>
      <c r="C271" s="102"/>
      <c r="AC271">
        <f t="shared" si="46"/>
        <v>0</v>
      </c>
    </row>
    <row r="272" spans="1:29" ht="50.25" customHeight="1">
      <c r="A272" s="101" t="s">
        <v>11</v>
      </c>
      <c r="B272" s="311" t="s">
        <v>615</v>
      </c>
      <c r="AC272">
        <f t="shared" si="46"/>
        <v>0</v>
      </c>
    </row>
    <row r="273" spans="1:29">
      <c r="A273" s="101" t="s">
        <v>13</v>
      </c>
      <c r="B273" t="s">
        <v>58</v>
      </c>
      <c r="AC273">
        <f t="shared" si="46"/>
        <v>0</v>
      </c>
    </row>
    <row r="274" spans="1:29">
      <c r="A274" s="101" t="s">
        <v>15</v>
      </c>
      <c r="B274">
        <f>B279</f>
        <v>1</v>
      </c>
      <c r="AC274">
        <f t="shared" si="46"/>
        <v>0</v>
      </c>
    </row>
    <row r="275" spans="1:29">
      <c r="A275" s="101" t="s">
        <v>16</v>
      </c>
      <c r="B275" t="s">
        <v>17</v>
      </c>
      <c r="AC275">
        <f t="shared" si="46"/>
        <v>0</v>
      </c>
    </row>
    <row r="276" spans="1:29">
      <c r="A276" s="101" t="s">
        <v>18</v>
      </c>
      <c r="B276" t="str">
        <f>C279</f>
        <v>unit</v>
      </c>
      <c r="AC276">
        <f t="shared" si="46"/>
        <v>0</v>
      </c>
    </row>
    <row r="277" spans="1:29">
      <c r="A277" s="302" t="s">
        <v>19</v>
      </c>
      <c r="AC277">
        <f t="shared" si="46"/>
        <v>0</v>
      </c>
    </row>
    <row r="278" spans="1:29">
      <c r="A278" s="302" t="s">
        <v>20</v>
      </c>
      <c r="B278" s="159" t="s">
        <v>21</v>
      </c>
      <c r="C278" s="159" t="s">
        <v>18</v>
      </c>
      <c r="D278" s="159" t="s">
        <v>22</v>
      </c>
      <c r="E278" s="159" t="s">
        <v>7</v>
      </c>
      <c r="F278" s="159" t="s">
        <v>13</v>
      </c>
      <c r="G278" s="159" t="s">
        <v>16</v>
      </c>
      <c r="H278" s="159" t="s">
        <v>23</v>
      </c>
      <c r="I278" s="328" t="s">
        <v>24</v>
      </c>
      <c r="J278" s="328" t="s">
        <v>25</v>
      </c>
      <c r="K278" s="328" t="s">
        <v>26</v>
      </c>
      <c r="L278" s="328" t="s">
        <v>27</v>
      </c>
      <c r="M278" s="328" t="s">
        <v>28</v>
      </c>
      <c r="AC278" t="e">
        <f t="shared" si="46"/>
        <v>#VALUE!</v>
      </c>
    </row>
    <row r="279" spans="1:29" s="304" customFormat="1">
      <c r="A279" s="303" t="str">
        <f>A55</f>
        <v>Production of Clamping / compression system</v>
      </c>
      <c r="B279" s="304">
        <v>1</v>
      </c>
      <c r="C279" t="s">
        <v>18</v>
      </c>
      <c r="D279" s="304" t="s">
        <v>2</v>
      </c>
      <c r="E279" s="304" t="s">
        <v>439</v>
      </c>
      <c r="F279" s="304" t="s">
        <v>58</v>
      </c>
      <c r="G279" s="304" t="s">
        <v>30</v>
      </c>
      <c r="H279" s="304">
        <v>1</v>
      </c>
      <c r="I279" s="304">
        <v>1</v>
      </c>
      <c r="J279" s="304" t="s">
        <v>31</v>
      </c>
      <c r="K279" s="304" t="s">
        <v>31</v>
      </c>
      <c r="L279" s="304" t="s">
        <v>31</v>
      </c>
      <c r="M279" s="304" t="s">
        <v>31</v>
      </c>
      <c r="O279" s="305" t="s">
        <v>447</v>
      </c>
      <c r="P279" s="306" t="s">
        <v>448</v>
      </c>
      <c r="Q279" s="306" t="s">
        <v>21</v>
      </c>
      <c r="R279" s="307" t="s">
        <v>449</v>
      </c>
      <c r="T279" s="306" t="s">
        <v>450</v>
      </c>
      <c r="W279" s="304" t="s">
        <v>520</v>
      </c>
      <c r="AC279" t="e">
        <f t="shared" si="46"/>
        <v>#VALUE!</v>
      </c>
    </row>
    <row r="280" spans="1:29">
      <c r="A280" s="47" t="s">
        <v>598</v>
      </c>
      <c r="B280">
        <f>R280</f>
        <v>0.88163265306122451</v>
      </c>
      <c r="C280" t="s">
        <v>37</v>
      </c>
      <c r="D280" t="s">
        <v>40</v>
      </c>
      <c r="E280" t="s">
        <v>439</v>
      </c>
      <c r="F280" t="s">
        <v>58</v>
      </c>
      <c r="G280" t="s">
        <v>33</v>
      </c>
      <c r="H280">
        <v>5</v>
      </c>
      <c r="I280">
        <f>B280</f>
        <v>0.88163265306122451</v>
      </c>
      <c r="J280" s="304" t="s">
        <v>31</v>
      </c>
      <c r="K280" s="304" t="s">
        <v>31</v>
      </c>
      <c r="L280">
        <f>0.5*B280</f>
        <v>0.44081632653061226</v>
      </c>
      <c r="M280">
        <f>1.5*B280</f>
        <v>1.3224489795918368</v>
      </c>
      <c r="O280">
        <v>1</v>
      </c>
      <c r="P280">
        <v>0.98</v>
      </c>
      <c r="Q280">
        <f>Y280</f>
        <v>0.86399999999999999</v>
      </c>
      <c r="R280" s="309">
        <f t="shared" ref="R280:R282" si="54">(Q280/P280)*O280</f>
        <v>0.88163265306122451</v>
      </c>
      <c r="T280" s="325" t="s">
        <v>599</v>
      </c>
      <c r="W280" s="330">
        <v>864</v>
      </c>
      <c r="X280" s="326" t="s">
        <v>575</v>
      </c>
      <c r="Y280">
        <f>0.001*W280</f>
        <v>0.86399999999999999</v>
      </c>
      <c r="Z280" t="s">
        <v>221</v>
      </c>
      <c r="AC280">
        <f t="shared" si="46"/>
        <v>0.88163265306122462</v>
      </c>
    </row>
    <row r="281" spans="1:29">
      <c r="A281" s="47" t="s">
        <v>598</v>
      </c>
      <c r="B281">
        <f>R281</f>
        <v>0.20408163265306123</v>
      </c>
      <c r="C281" t="s">
        <v>37</v>
      </c>
      <c r="D281" t="s">
        <v>40</v>
      </c>
      <c r="E281" t="s">
        <v>439</v>
      </c>
      <c r="F281" t="s">
        <v>58</v>
      </c>
      <c r="G281" t="s">
        <v>33</v>
      </c>
      <c r="H281">
        <v>5</v>
      </c>
      <c r="I281">
        <f>B281</f>
        <v>0.20408163265306123</v>
      </c>
      <c r="J281" s="304" t="s">
        <v>31</v>
      </c>
      <c r="K281" s="304" t="s">
        <v>31</v>
      </c>
      <c r="L281">
        <f t="shared" ref="L281:L282" si="55">0.5*B281</f>
        <v>0.10204081632653061</v>
      </c>
      <c r="M281">
        <f t="shared" ref="M281:M282" si="56">1.5*B281</f>
        <v>0.30612244897959184</v>
      </c>
      <c r="O281">
        <v>1</v>
      </c>
      <c r="P281">
        <v>0.98</v>
      </c>
      <c r="Q281">
        <f>Y281</f>
        <v>0.2</v>
      </c>
      <c r="R281" s="309">
        <f t="shared" si="54"/>
        <v>0.20408163265306123</v>
      </c>
      <c r="T281" s="325" t="s">
        <v>599</v>
      </c>
      <c r="W281" s="330">
        <v>200</v>
      </c>
      <c r="X281" s="326" t="s">
        <v>575</v>
      </c>
      <c r="Y281">
        <f>0.001*W281</f>
        <v>0.2</v>
      </c>
      <c r="Z281" t="s">
        <v>221</v>
      </c>
      <c r="AC281">
        <f t="shared" ref="AC281:AC344" si="57">M281-L281</f>
        <v>0.20408163265306123</v>
      </c>
    </row>
    <row r="282" spans="1:29">
      <c r="A282" s="47" t="s">
        <v>598</v>
      </c>
      <c r="B282">
        <f>R282</f>
        <v>2.0408163265306123</v>
      </c>
      <c r="C282" t="s">
        <v>37</v>
      </c>
      <c r="D282" t="s">
        <v>40</v>
      </c>
      <c r="E282" t="s">
        <v>439</v>
      </c>
      <c r="F282" t="s">
        <v>58</v>
      </c>
      <c r="G282" t="s">
        <v>33</v>
      </c>
      <c r="H282">
        <v>5</v>
      </c>
      <c r="I282">
        <f>B282</f>
        <v>2.0408163265306123</v>
      </c>
      <c r="J282" s="304" t="s">
        <v>31</v>
      </c>
      <c r="K282" s="304" t="s">
        <v>31</v>
      </c>
      <c r="L282">
        <f t="shared" si="55"/>
        <v>1.0204081632653061</v>
      </c>
      <c r="M282">
        <f t="shared" si="56"/>
        <v>3.0612244897959187</v>
      </c>
      <c r="O282">
        <v>1</v>
      </c>
      <c r="P282">
        <v>0.98</v>
      </c>
      <c r="Q282">
        <f>Y282</f>
        <v>2</v>
      </c>
      <c r="R282" s="309">
        <f t="shared" si="54"/>
        <v>2.0408163265306123</v>
      </c>
      <c r="T282" s="325" t="s">
        <v>599</v>
      </c>
      <c r="W282" s="330">
        <v>2000</v>
      </c>
      <c r="X282" s="326" t="s">
        <v>575</v>
      </c>
      <c r="Y282">
        <f>0.001*W282</f>
        <v>2</v>
      </c>
      <c r="Z282" t="s">
        <v>221</v>
      </c>
      <c r="AC282">
        <f t="shared" si="57"/>
        <v>2.0408163265306127</v>
      </c>
    </row>
    <row r="283" spans="1:29" s="41" customFormat="1">
      <c r="A283" s="300" t="s">
        <v>5</v>
      </c>
      <c r="B283" s="108" t="str">
        <f>A293</f>
        <v>Production of Cell voltage monitoring unit</v>
      </c>
      <c r="C283" s="39"/>
      <c r="AC283">
        <f t="shared" si="57"/>
        <v>0</v>
      </c>
    </row>
    <row r="284" spans="1:29">
      <c r="A284" s="101" t="s">
        <v>7</v>
      </c>
      <c r="B284" t="s">
        <v>439</v>
      </c>
      <c r="C284" s="102"/>
      <c r="AC284">
        <f t="shared" si="57"/>
        <v>0</v>
      </c>
    </row>
    <row r="285" spans="1:29">
      <c r="A285" s="101" t="s">
        <v>9</v>
      </c>
      <c r="B285" s="301" t="s">
        <v>616</v>
      </c>
      <c r="C285" s="102"/>
      <c r="AC285">
        <f t="shared" si="57"/>
        <v>0</v>
      </c>
    </row>
    <row r="286" spans="1:29" ht="50.25" customHeight="1">
      <c r="A286" s="101" t="s">
        <v>11</v>
      </c>
      <c r="B286" s="311" t="s">
        <v>617</v>
      </c>
      <c r="AC286">
        <f t="shared" si="57"/>
        <v>0</v>
      </c>
    </row>
    <row r="287" spans="1:29">
      <c r="A287" s="101" t="s">
        <v>13</v>
      </c>
      <c r="B287" t="s">
        <v>58</v>
      </c>
      <c r="AC287">
        <f t="shared" si="57"/>
        <v>0</v>
      </c>
    </row>
    <row r="288" spans="1:29">
      <c r="A288" s="101" t="s">
        <v>15</v>
      </c>
      <c r="B288">
        <f>B293</f>
        <v>1</v>
      </c>
      <c r="AC288">
        <f t="shared" si="57"/>
        <v>0</v>
      </c>
    </row>
    <row r="289" spans="1:29">
      <c r="A289" s="101" t="s">
        <v>16</v>
      </c>
      <c r="B289" t="s">
        <v>17</v>
      </c>
      <c r="AC289">
        <f t="shared" si="57"/>
        <v>0</v>
      </c>
    </row>
    <row r="290" spans="1:29">
      <c r="A290" s="101" t="s">
        <v>18</v>
      </c>
      <c r="B290" t="str">
        <f>C293</f>
        <v>unit</v>
      </c>
      <c r="AC290">
        <f t="shared" si="57"/>
        <v>0</v>
      </c>
    </row>
    <row r="291" spans="1:29">
      <c r="A291" s="302" t="s">
        <v>19</v>
      </c>
      <c r="AC291">
        <f t="shared" si="57"/>
        <v>0</v>
      </c>
    </row>
    <row r="292" spans="1:29">
      <c r="A292" s="302" t="s">
        <v>20</v>
      </c>
      <c r="B292" s="159" t="s">
        <v>21</v>
      </c>
      <c r="C292" s="159" t="s">
        <v>18</v>
      </c>
      <c r="D292" s="159" t="s">
        <v>22</v>
      </c>
      <c r="E292" s="159" t="s">
        <v>7</v>
      </c>
      <c r="F292" s="159" t="s">
        <v>13</v>
      </c>
      <c r="G292" s="159" t="s">
        <v>16</v>
      </c>
      <c r="H292" s="159" t="s">
        <v>23</v>
      </c>
      <c r="I292" s="328" t="s">
        <v>24</v>
      </c>
      <c r="J292" s="328" t="s">
        <v>25</v>
      </c>
      <c r="K292" s="328" t="s">
        <v>26</v>
      </c>
      <c r="L292" s="328" t="s">
        <v>27</v>
      </c>
      <c r="M292" s="328" t="s">
        <v>28</v>
      </c>
      <c r="AC292" t="e">
        <f t="shared" si="57"/>
        <v>#VALUE!</v>
      </c>
    </row>
    <row r="293" spans="1:29" s="304" customFormat="1">
      <c r="A293" s="303" t="str">
        <f>A56</f>
        <v>Production of Cell voltage monitoring unit</v>
      </c>
      <c r="B293" s="304">
        <v>1</v>
      </c>
      <c r="C293" t="s">
        <v>18</v>
      </c>
      <c r="D293" s="304" t="s">
        <v>2</v>
      </c>
      <c r="E293" s="304" t="s">
        <v>439</v>
      </c>
      <c r="F293" s="304" t="s">
        <v>58</v>
      </c>
      <c r="G293" s="304" t="s">
        <v>30</v>
      </c>
      <c r="H293" s="304">
        <v>1</v>
      </c>
      <c r="I293" s="304">
        <v>1</v>
      </c>
      <c r="J293" s="304" t="s">
        <v>31</v>
      </c>
      <c r="K293" s="304" t="s">
        <v>31</v>
      </c>
      <c r="L293" s="304" t="s">
        <v>31</v>
      </c>
      <c r="M293" s="304" t="s">
        <v>31</v>
      </c>
      <c r="O293" s="305" t="s">
        <v>447</v>
      </c>
      <c r="P293" s="306" t="s">
        <v>448</v>
      </c>
      <c r="Q293" s="306" t="s">
        <v>21</v>
      </c>
      <c r="R293" s="307" t="s">
        <v>449</v>
      </c>
      <c r="T293" s="306" t="s">
        <v>450</v>
      </c>
      <c r="W293" s="304" t="s">
        <v>520</v>
      </c>
      <c r="AC293" t="e">
        <f t="shared" si="57"/>
        <v>#VALUE!</v>
      </c>
    </row>
    <row r="294" spans="1:29">
      <c r="A294" s="47" t="s">
        <v>618</v>
      </c>
      <c r="B294">
        <f>R294</f>
        <v>0.8421052631578948</v>
      </c>
      <c r="C294" t="s">
        <v>37</v>
      </c>
      <c r="D294" t="s">
        <v>40</v>
      </c>
      <c r="E294" t="s">
        <v>439</v>
      </c>
      <c r="F294" t="s">
        <v>58</v>
      </c>
      <c r="G294" t="s">
        <v>33</v>
      </c>
      <c r="H294">
        <v>0</v>
      </c>
      <c r="I294">
        <f>B294</f>
        <v>0.8421052631578948</v>
      </c>
      <c r="J294" t="s">
        <v>31</v>
      </c>
      <c r="K294" t="s">
        <v>31</v>
      </c>
      <c r="L294" t="s">
        <v>31</v>
      </c>
      <c r="M294" t="s">
        <v>31</v>
      </c>
      <c r="O294">
        <v>1</v>
      </c>
      <c r="P294">
        <v>0.95</v>
      </c>
      <c r="Q294">
        <v>0.8</v>
      </c>
      <c r="R294" s="309">
        <f t="shared" ref="R294" si="58">(Q294/P294)*O294</f>
        <v>0.8421052631578948</v>
      </c>
      <c r="AC294" t="e">
        <f t="shared" si="57"/>
        <v>#VALUE!</v>
      </c>
    </row>
    <row r="295" spans="1:29" s="41" customFormat="1">
      <c r="A295" s="300" t="s">
        <v>5</v>
      </c>
      <c r="B295" s="108" t="str">
        <f>A305</f>
        <v>Production of Current collector</v>
      </c>
      <c r="C295" s="39"/>
      <c r="AC295">
        <f t="shared" si="57"/>
        <v>0</v>
      </c>
    </row>
    <row r="296" spans="1:29">
      <c r="A296" s="101" t="s">
        <v>7</v>
      </c>
      <c r="B296" t="s">
        <v>439</v>
      </c>
      <c r="C296" s="102"/>
      <c r="AC296">
        <f t="shared" si="57"/>
        <v>0</v>
      </c>
    </row>
    <row r="297" spans="1:29">
      <c r="A297" s="101" t="s">
        <v>9</v>
      </c>
      <c r="B297" s="301" t="s">
        <v>619</v>
      </c>
      <c r="C297" s="102"/>
      <c r="AC297">
        <f t="shared" si="57"/>
        <v>0</v>
      </c>
    </row>
    <row r="298" spans="1:29" ht="50.25" customHeight="1">
      <c r="A298" s="101" t="s">
        <v>11</v>
      </c>
      <c r="B298" s="311" t="s">
        <v>620</v>
      </c>
      <c r="AC298">
        <f t="shared" si="57"/>
        <v>0</v>
      </c>
    </row>
    <row r="299" spans="1:29">
      <c r="A299" s="101" t="s">
        <v>13</v>
      </c>
      <c r="B299" t="s">
        <v>58</v>
      </c>
      <c r="AC299">
        <f t="shared" si="57"/>
        <v>0</v>
      </c>
    </row>
    <row r="300" spans="1:29">
      <c r="A300" s="101" t="s">
        <v>15</v>
      </c>
      <c r="B300">
        <f>B305</f>
        <v>1</v>
      </c>
      <c r="AC300">
        <f t="shared" si="57"/>
        <v>0</v>
      </c>
    </row>
    <row r="301" spans="1:29">
      <c r="A301" s="101" t="s">
        <v>16</v>
      </c>
      <c r="B301" t="s">
        <v>17</v>
      </c>
      <c r="AC301">
        <f t="shared" si="57"/>
        <v>0</v>
      </c>
    </row>
    <row r="302" spans="1:29">
      <c r="A302" s="101" t="s">
        <v>18</v>
      </c>
      <c r="B302" t="str">
        <f>C305</f>
        <v>unit</v>
      </c>
      <c r="AC302">
        <f t="shared" si="57"/>
        <v>0</v>
      </c>
    </row>
    <row r="303" spans="1:29">
      <c r="A303" s="302" t="s">
        <v>19</v>
      </c>
      <c r="AC303">
        <f t="shared" si="57"/>
        <v>0</v>
      </c>
    </row>
    <row r="304" spans="1:29">
      <c r="A304" s="302" t="s">
        <v>20</v>
      </c>
      <c r="B304" s="159" t="s">
        <v>21</v>
      </c>
      <c r="C304" s="159" t="s">
        <v>18</v>
      </c>
      <c r="D304" s="159" t="s">
        <v>22</v>
      </c>
      <c r="E304" s="159" t="s">
        <v>7</v>
      </c>
      <c r="F304" s="159" t="s">
        <v>13</v>
      </c>
      <c r="G304" s="159" t="s">
        <v>16</v>
      </c>
      <c r="H304" s="159" t="s">
        <v>23</v>
      </c>
      <c r="I304" s="328" t="s">
        <v>24</v>
      </c>
      <c r="J304" s="328" t="s">
        <v>25</v>
      </c>
      <c r="K304" s="328" t="s">
        <v>26</v>
      </c>
      <c r="L304" s="328" t="s">
        <v>27</v>
      </c>
      <c r="M304" s="328" t="s">
        <v>28</v>
      </c>
      <c r="AC304" t="e">
        <f t="shared" si="57"/>
        <v>#VALUE!</v>
      </c>
    </row>
    <row r="305" spans="1:29" s="304" customFormat="1">
      <c r="A305" s="303" t="str">
        <f>A57</f>
        <v>Production of Current collector</v>
      </c>
      <c r="B305" s="304">
        <v>1</v>
      </c>
      <c r="C305" t="s">
        <v>18</v>
      </c>
      <c r="D305" s="304" t="s">
        <v>2</v>
      </c>
      <c r="E305" s="304" t="s">
        <v>439</v>
      </c>
      <c r="F305" s="304" t="s">
        <v>58</v>
      </c>
      <c r="G305" s="304" t="s">
        <v>30</v>
      </c>
      <c r="H305" s="304">
        <v>1</v>
      </c>
      <c r="I305" s="304">
        <v>1</v>
      </c>
      <c r="J305" s="304" t="s">
        <v>31</v>
      </c>
      <c r="K305" s="304" t="s">
        <v>31</v>
      </c>
      <c r="L305" s="304" t="s">
        <v>31</v>
      </c>
      <c r="M305" s="304" t="s">
        <v>31</v>
      </c>
      <c r="O305" s="305" t="s">
        <v>447</v>
      </c>
      <c r="P305" s="306" t="s">
        <v>448</v>
      </c>
      <c r="Q305" s="306" t="s">
        <v>21</v>
      </c>
      <c r="R305" s="307" t="s">
        <v>449</v>
      </c>
      <c r="T305" s="306" t="s">
        <v>450</v>
      </c>
      <c r="W305" s="304" t="s">
        <v>520</v>
      </c>
      <c r="AC305" t="e">
        <f t="shared" si="57"/>
        <v>#VALUE!</v>
      </c>
    </row>
    <row r="306" spans="1:29">
      <c r="A306" s="47" t="s">
        <v>342</v>
      </c>
      <c r="B306">
        <f>R306</f>
        <v>0.60342857142857143</v>
      </c>
      <c r="C306" t="s">
        <v>37</v>
      </c>
      <c r="D306" t="s">
        <v>40</v>
      </c>
      <c r="E306" t="s">
        <v>439</v>
      </c>
      <c r="F306" t="s">
        <v>58</v>
      </c>
      <c r="G306" t="s">
        <v>33</v>
      </c>
      <c r="H306">
        <v>5</v>
      </c>
      <c r="I306">
        <f>B306</f>
        <v>0.60342857142857143</v>
      </c>
      <c r="J306" t="s">
        <v>31</v>
      </c>
      <c r="K306" t="s">
        <v>31</v>
      </c>
      <c r="L306">
        <f>0.9*B306</f>
        <v>0.54308571428571428</v>
      </c>
      <c r="M306">
        <f>1.1*B306</f>
        <v>0.66377142857142857</v>
      </c>
      <c r="O306">
        <v>1</v>
      </c>
      <c r="P306">
        <v>0.98</v>
      </c>
      <c r="Q306">
        <v>0.59136</v>
      </c>
      <c r="R306" s="309">
        <f t="shared" ref="R306:R310" si="59">(Q306/P306)*O306</f>
        <v>0.60342857142857143</v>
      </c>
      <c r="T306" t="s">
        <v>621</v>
      </c>
      <c r="AC306">
        <f t="shared" si="57"/>
        <v>0.12068571428571429</v>
      </c>
    </row>
    <row r="307" spans="1:29">
      <c r="A307" s="47" t="s">
        <v>622</v>
      </c>
      <c r="B307">
        <f t="shared" ref="B307:B310" si="60">R307</f>
        <v>1.5986394557823129E-2</v>
      </c>
      <c r="C307" t="s">
        <v>37</v>
      </c>
      <c r="D307" t="s">
        <v>40</v>
      </c>
      <c r="E307" t="s">
        <v>439</v>
      </c>
      <c r="F307" t="s">
        <v>58</v>
      </c>
      <c r="G307" t="s">
        <v>33</v>
      </c>
      <c r="H307">
        <v>0</v>
      </c>
      <c r="I307">
        <f t="shared" ref="I307:I310" si="61">B307</f>
        <v>1.5986394557823129E-2</v>
      </c>
      <c r="J307" t="s">
        <v>31</v>
      </c>
      <c r="K307" t="s">
        <v>31</v>
      </c>
      <c r="L307" t="s">
        <v>31</v>
      </c>
      <c r="M307" t="s">
        <v>31</v>
      </c>
      <c r="O307">
        <f>20/15</f>
        <v>1.3333333333333333</v>
      </c>
      <c r="P307">
        <v>0.98</v>
      </c>
      <c r="Q307">
        <v>1.175E-2</v>
      </c>
      <c r="R307" s="309">
        <f t="shared" si="59"/>
        <v>1.5986394557823129E-2</v>
      </c>
      <c r="AC307" t="e">
        <f t="shared" si="57"/>
        <v>#VALUE!</v>
      </c>
    </row>
    <row r="308" spans="1:29">
      <c r="A308" s="47" t="s">
        <v>623</v>
      </c>
      <c r="B308">
        <f t="shared" si="60"/>
        <v>1.7414965986394561E-3</v>
      </c>
      <c r="C308" t="s">
        <v>37</v>
      </c>
      <c r="D308" t="s">
        <v>40</v>
      </c>
      <c r="E308" t="s">
        <v>439</v>
      </c>
      <c r="F308" t="s">
        <v>58</v>
      </c>
      <c r="G308" t="s">
        <v>33</v>
      </c>
      <c r="H308">
        <v>0</v>
      </c>
      <c r="I308">
        <f t="shared" si="61"/>
        <v>1.7414965986394561E-3</v>
      </c>
      <c r="J308" t="s">
        <v>31</v>
      </c>
      <c r="K308" t="s">
        <v>31</v>
      </c>
      <c r="L308" t="s">
        <v>31</v>
      </c>
      <c r="M308" t="s">
        <v>31</v>
      </c>
      <c r="O308">
        <f>20/15</f>
        <v>1.3333333333333333</v>
      </c>
      <c r="P308">
        <v>0.98</v>
      </c>
      <c r="Q308">
        <v>1.2800000000000001E-3</v>
      </c>
      <c r="R308" s="309">
        <f t="shared" si="59"/>
        <v>1.7414965986394561E-3</v>
      </c>
      <c r="AC308" t="e">
        <f t="shared" si="57"/>
        <v>#VALUE!</v>
      </c>
    </row>
    <row r="309" spans="1:29">
      <c r="A309" s="47" t="s">
        <v>624</v>
      </c>
      <c r="B309">
        <f t="shared" si="60"/>
        <v>0.59099999999999997</v>
      </c>
      <c r="C309" t="s">
        <v>37</v>
      </c>
      <c r="D309" t="s">
        <v>40</v>
      </c>
      <c r="E309" t="s">
        <v>439</v>
      </c>
      <c r="F309" t="s">
        <v>58</v>
      </c>
      <c r="G309" t="s">
        <v>33</v>
      </c>
      <c r="H309">
        <v>0</v>
      </c>
      <c r="I309">
        <f t="shared" si="61"/>
        <v>0.59099999999999997</v>
      </c>
      <c r="J309" t="s">
        <v>31</v>
      </c>
      <c r="K309" t="s">
        <v>31</v>
      </c>
      <c r="L309" t="s">
        <v>31</v>
      </c>
      <c r="M309" t="s">
        <v>31</v>
      </c>
      <c r="O309">
        <v>1</v>
      </c>
      <c r="P309">
        <v>1</v>
      </c>
      <c r="Q309">
        <v>0.59099999999999997</v>
      </c>
      <c r="R309" s="309">
        <f t="shared" si="59"/>
        <v>0.59099999999999997</v>
      </c>
      <c r="AC309" t="e">
        <f t="shared" si="57"/>
        <v>#VALUE!</v>
      </c>
    </row>
    <row r="310" spans="1:29">
      <c r="A310" s="47" t="s">
        <v>604</v>
      </c>
      <c r="B310">
        <f t="shared" si="60"/>
        <v>3.3000000000000002E-2</v>
      </c>
      <c r="C310" t="s">
        <v>113</v>
      </c>
      <c r="D310" t="s">
        <v>40</v>
      </c>
      <c r="E310" t="s">
        <v>439</v>
      </c>
      <c r="F310" t="s">
        <v>128</v>
      </c>
      <c r="G310" t="s">
        <v>33</v>
      </c>
      <c r="H310">
        <v>0</v>
      </c>
      <c r="I310">
        <f t="shared" si="61"/>
        <v>3.3000000000000002E-2</v>
      </c>
      <c r="J310" t="s">
        <v>31</v>
      </c>
      <c r="K310" t="s">
        <v>31</v>
      </c>
      <c r="L310" t="s">
        <v>31</v>
      </c>
      <c r="M310" t="s">
        <v>31</v>
      </c>
      <c r="O310">
        <v>1</v>
      </c>
      <c r="P310">
        <v>1</v>
      </c>
      <c r="Q310">
        <v>3.3000000000000002E-2</v>
      </c>
      <c r="R310" s="309">
        <f t="shared" si="59"/>
        <v>3.3000000000000002E-2</v>
      </c>
      <c r="AC310" t="e">
        <f t="shared" si="57"/>
        <v>#VALUE!</v>
      </c>
    </row>
    <row r="311" spans="1:29" s="41" customFormat="1">
      <c r="A311" s="300" t="s">
        <v>5</v>
      </c>
      <c r="B311" s="108" t="str">
        <f>A321</f>
        <v>Production of Insulated pressure vessel / Fuel Cell Stack Enclosure</v>
      </c>
      <c r="C311" s="39"/>
      <c r="AC311">
        <f t="shared" si="57"/>
        <v>0</v>
      </c>
    </row>
    <row r="312" spans="1:29">
      <c r="A312" s="101" t="s">
        <v>7</v>
      </c>
      <c r="B312" t="s">
        <v>439</v>
      </c>
      <c r="C312" s="102"/>
      <c r="AC312">
        <f t="shared" si="57"/>
        <v>0</v>
      </c>
    </row>
    <row r="313" spans="1:29">
      <c r="A313" s="101" t="s">
        <v>9</v>
      </c>
      <c r="B313" s="301" t="s">
        <v>625</v>
      </c>
      <c r="C313" s="102"/>
      <c r="AC313">
        <f t="shared" si="57"/>
        <v>0</v>
      </c>
    </row>
    <row r="314" spans="1:29" ht="50.25" customHeight="1">
      <c r="A314" s="101" t="s">
        <v>11</v>
      </c>
      <c r="B314" s="311" t="s">
        <v>626</v>
      </c>
      <c r="AC314">
        <f t="shared" si="57"/>
        <v>0</v>
      </c>
    </row>
    <row r="315" spans="1:29">
      <c r="A315" s="101" t="s">
        <v>13</v>
      </c>
      <c r="B315" t="s">
        <v>58</v>
      </c>
      <c r="AC315">
        <f t="shared" si="57"/>
        <v>0</v>
      </c>
    </row>
    <row r="316" spans="1:29">
      <c r="A316" s="101" t="s">
        <v>15</v>
      </c>
      <c r="B316">
        <f>B321</f>
        <v>1</v>
      </c>
      <c r="AC316">
        <f t="shared" si="57"/>
        <v>0</v>
      </c>
    </row>
    <row r="317" spans="1:29">
      <c r="A317" s="101" t="s">
        <v>16</v>
      </c>
      <c r="B317" t="s">
        <v>17</v>
      </c>
      <c r="AC317">
        <f t="shared" si="57"/>
        <v>0</v>
      </c>
    </row>
    <row r="318" spans="1:29">
      <c r="A318" s="101" t="s">
        <v>18</v>
      </c>
      <c r="B318" t="str">
        <f>C321</f>
        <v>unit</v>
      </c>
      <c r="AC318">
        <f t="shared" si="57"/>
        <v>0</v>
      </c>
    </row>
    <row r="319" spans="1:29">
      <c r="A319" s="302" t="s">
        <v>19</v>
      </c>
      <c r="AC319">
        <f t="shared" si="57"/>
        <v>0</v>
      </c>
    </row>
    <row r="320" spans="1:29">
      <c r="A320" s="302" t="s">
        <v>20</v>
      </c>
      <c r="B320" s="159" t="s">
        <v>21</v>
      </c>
      <c r="C320" s="159" t="s">
        <v>18</v>
      </c>
      <c r="D320" s="159" t="s">
        <v>22</v>
      </c>
      <c r="E320" s="159" t="s">
        <v>7</v>
      </c>
      <c r="F320" s="159" t="s">
        <v>13</v>
      </c>
      <c r="G320" s="159" t="s">
        <v>16</v>
      </c>
      <c r="H320" s="159" t="s">
        <v>23</v>
      </c>
      <c r="I320" s="328" t="s">
        <v>24</v>
      </c>
      <c r="J320" s="328" t="s">
        <v>25</v>
      </c>
      <c r="K320" s="328" t="s">
        <v>26</v>
      </c>
      <c r="L320" s="328" t="s">
        <v>27</v>
      </c>
      <c r="M320" s="328" t="s">
        <v>28</v>
      </c>
      <c r="AC320" t="e">
        <f t="shared" si="57"/>
        <v>#VALUE!</v>
      </c>
    </row>
    <row r="321" spans="1:29" s="304" customFormat="1">
      <c r="A321" s="303" t="str">
        <f>A58</f>
        <v>Production of Insulated pressure vessel / Fuel Cell Stack Enclosure</v>
      </c>
      <c r="B321" s="304">
        <v>1</v>
      </c>
      <c r="C321" t="s">
        <v>18</v>
      </c>
      <c r="D321" s="304" t="s">
        <v>2</v>
      </c>
      <c r="E321" s="304" t="s">
        <v>439</v>
      </c>
      <c r="F321" s="304" t="s">
        <v>58</v>
      </c>
      <c r="G321" s="304" t="s">
        <v>30</v>
      </c>
      <c r="H321" s="304">
        <v>1</v>
      </c>
      <c r="I321" s="304">
        <v>1</v>
      </c>
      <c r="J321" s="304" t="s">
        <v>31</v>
      </c>
      <c r="K321" s="304" t="s">
        <v>31</v>
      </c>
      <c r="L321" s="304" t="s">
        <v>31</v>
      </c>
      <c r="M321" s="304" t="s">
        <v>31</v>
      </c>
      <c r="O321" s="305" t="s">
        <v>447</v>
      </c>
      <c r="P321" s="306" t="s">
        <v>448</v>
      </c>
      <c r="Q321" s="306" t="s">
        <v>21</v>
      </c>
      <c r="R321" s="307" t="s">
        <v>449</v>
      </c>
      <c r="T321" s="306" t="s">
        <v>450</v>
      </c>
      <c r="W321" s="304" t="s">
        <v>520</v>
      </c>
      <c r="AC321" t="e">
        <f t="shared" si="57"/>
        <v>#VALUE!</v>
      </c>
    </row>
    <row r="322" spans="1:29">
      <c r="A322" s="47" t="s">
        <v>627</v>
      </c>
      <c r="B322">
        <f>R322</f>
        <v>0.52631578947368418</v>
      </c>
      <c r="C322" t="s">
        <v>37</v>
      </c>
      <c r="D322" t="s">
        <v>40</v>
      </c>
      <c r="E322" t="s">
        <v>439</v>
      </c>
      <c r="F322" t="s">
        <v>128</v>
      </c>
      <c r="G322" t="s">
        <v>33</v>
      </c>
      <c r="H322">
        <v>5</v>
      </c>
      <c r="I322">
        <f t="shared" ref="I322:I323" si="62">B322</f>
        <v>0.52631578947368418</v>
      </c>
      <c r="J322" s="304" t="s">
        <v>31</v>
      </c>
      <c r="K322" s="304" t="s">
        <v>31</v>
      </c>
      <c r="L322">
        <f>0</f>
        <v>0</v>
      </c>
      <c r="M322">
        <f>2*B322</f>
        <v>1.0526315789473684</v>
      </c>
      <c r="O322">
        <v>1</v>
      </c>
      <c r="P322">
        <v>0.95</v>
      </c>
      <c r="Q322">
        <v>0.5</v>
      </c>
      <c r="R322" s="331">
        <f t="shared" ref="R322:R325" si="63">(Q322/P322)*O322</f>
        <v>0.52631578947368418</v>
      </c>
      <c r="T322" t="s">
        <v>628</v>
      </c>
      <c r="AC322">
        <f t="shared" si="57"/>
        <v>1.0526315789473684</v>
      </c>
    </row>
    <row r="323" spans="1:29">
      <c r="A323" s="327" t="s">
        <v>334</v>
      </c>
      <c r="B323">
        <f>R323</f>
        <v>1.3157894736842106</v>
      </c>
      <c r="C323" t="s">
        <v>37</v>
      </c>
      <c r="D323" t="s">
        <v>40</v>
      </c>
      <c r="E323" t="s">
        <v>439</v>
      </c>
      <c r="F323" t="s">
        <v>58</v>
      </c>
      <c r="G323" t="s">
        <v>33</v>
      </c>
      <c r="H323">
        <v>5</v>
      </c>
      <c r="I323">
        <f t="shared" si="62"/>
        <v>1.3157894736842106</v>
      </c>
      <c r="J323" s="304" t="s">
        <v>31</v>
      </c>
      <c r="K323" s="304" t="s">
        <v>31</v>
      </c>
      <c r="L323">
        <f>0</f>
        <v>0</v>
      </c>
      <c r="M323">
        <f>2*B323</f>
        <v>2.6315789473684212</v>
      </c>
      <c r="O323">
        <v>1</v>
      </c>
      <c r="P323">
        <v>0.95</v>
      </c>
      <c r="Q323">
        <v>1.25</v>
      </c>
      <c r="R323" s="331">
        <f t="shared" si="63"/>
        <v>1.3157894736842106</v>
      </c>
      <c r="T323" t="s">
        <v>628</v>
      </c>
      <c r="AC323">
        <f t="shared" si="57"/>
        <v>2.6315789473684212</v>
      </c>
    </row>
    <row r="324" spans="1:29">
      <c r="A324" s="47" t="s">
        <v>608</v>
      </c>
      <c r="B324">
        <f>R324</f>
        <v>1.3157894736842106</v>
      </c>
      <c r="C324" t="s">
        <v>37</v>
      </c>
      <c r="D324" t="s">
        <v>40</v>
      </c>
      <c r="E324" t="s">
        <v>439</v>
      </c>
      <c r="F324" t="s">
        <v>128</v>
      </c>
      <c r="G324" t="s">
        <v>33</v>
      </c>
      <c r="H324">
        <v>5</v>
      </c>
      <c r="I324">
        <f>B324</f>
        <v>1.3157894736842106</v>
      </c>
      <c r="J324" s="304" t="s">
        <v>31</v>
      </c>
      <c r="K324" s="304" t="s">
        <v>31</v>
      </c>
      <c r="L324">
        <f>0</f>
        <v>0</v>
      </c>
      <c r="M324">
        <f>2*B324</f>
        <v>2.6315789473684212</v>
      </c>
      <c r="O324">
        <v>1</v>
      </c>
      <c r="P324">
        <v>0.95</v>
      </c>
      <c r="Q324" s="209">
        <v>1.25</v>
      </c>
      <c r="R324" s="331">
        <f t="shared" si="63"/>
        <v>1.3157894736842106</v>
      </c>
      <c r="T324" t="s">
        <v>628</v>
      </c>
      <c r="AC324">
        <f t="shared" si="57"/>
        <v>2.6315789473684212</v>
      </c>
    </row>
    <row r="325" spans="1:29">
      <c r="A325" s="47" t="s">
        <v>629</v>
      </c>
      <c r="B325">
        <f>R325</f>
        <v>3.1578947368421053</v>
      </c>
      <c r="C325" t="s">
        <v>37</v>
      </c>
      <c r="D325" t="s">
        <v>40</v>
      </c>
      <c r="E325" t="s">
        <v>439</v>
      </c>
      <c r="F325" t="s">
        <v>58</v>
      </c>
      <c r="G325" t="s">
        <v>33</v>
      </c>
      <c r="H325">
        <v>5</v>
      </c>
      <c r="I325">
        <f t="shared" ref="I325" si="64">B325</f>
        <v>3.1578947368421053</v>
      </c>
      <c r="J325" s="304" t="s">
        <v>31</v>
      </c>
      <c r="K325" s="304" t="s">
        <v>31</v>
      </c>
      <c r="L325">
        <f>0</f>
        <v>0</v>
      </c>
      <c r="M325">
        <f>2*B325</f>
        <v>6.3157894736842106</v>
      </c>
      <c r="O325">
        <v>1</v>
      </c>
      <c r="P325">
        <v>0.95</v>
      </c>
      <c r="Q325">
        <v>3</v>
      </c>
      <c r="R325" s="331">
        <f t="shared" si="63"/>
        <v>3.1578947368421053</v>
      </c>
      <c r="T325" t="s">
        <v>628</v>
      </c>
      <c r="AC325">
        <f t="shared" si="57"/>
        <v>6.3157894736842106</v>
      </c>
    </row>
    <row r="326" spans="1:29" s="41" customFormat="1">
      <c r="A326" s="300" t="s">
        <v>5</v>
      </c>
      <c r="B326" s="108" t="str">
        <f>A336</f>
        <v>production of insulated pressure vessel</v>
      </c>
      <c r="C326" s="39"/>
      <c r="AC326">
        <f t="shared" si="57"/>
        <v>0</v>
      </c>
    </row>
    <row r="327" spans="1:29">
      <c r="A327" s="101" t="s">
        <v>7</v>
      </c>
      <c r="B327" t="s">
        <v>439</v>
      </c>
      <c r="C327" s="102"/>
      <c r="AC327">
        <f t="shared" si="57"/>
        <v>0</v>
      </c>
    </row>
    <row r="328" spans="1:29">
      <c r="A328" s="101" t="s">
        <v>9</v>
      </c>
      <c r="B328" s="301" t="s">
        <v>630</v>
      </c>
      <c r="C328" s="102"/>
      <c r="AC328">
        <f t="shared" si="57"/>
        <v>0</v>
      </c>
    </row>
    <row r="329" spans="1:29" ht="50.25" customHeight="1">
      <c r="A329" s="101" t="s">
        <v>11</v>
      </c>
      <c r="B329" s="311" t="s">
        <v>631</v>
      </c>
      <c r="AC329">
        <f t="shared" si="57"/>
        <v>0</v>
      </c>
    </row>
    <row r="330" spans="1:29">
      <c r="A330" s="101" t="s">
        <v>13</v>
      </c>
      <c r="B330" t="s">
        <v>58</v>
      </c>
      <c r="AC330">
        <f t="shared" si="57"/>
        <v>0</v>
      </c>
    </row>
    <row r="331" spans="1:29">
      <c r="A331" s="101" t="s">
        <v>15</v>
      </c>
      <c r="B331">
        <f>B336</f>
        <v>1</v>
      </c>
      <c r="AC331">
        <f t="shared" si="57"/>
        <v>0</v>
      </c>
    </row>
    <row r="332" spans="1:29">
      <c r="A332" s="101" t="s">
        <v>16</v>
      </c>
      <c r="B332" t="s">
        <v>17</v>
      </c>
      <c r="AC332">
        <f t="shared" si="57"/>
        <v>0</v>
      </c>
    </row>
    <row r="333" spans="1:29">
      <c r="A333" s="101" t="s">
        <v>18</v>
      </c>
      <c r="B333" t="str">
        <f>C336</f>
        <v>unit</v>
      </c>
      <c r="AC333">
        <f t="shared" si="57"/>
        <v>0</v>
      </c>
    </row>
    <row r="334" spans="1:29">
      <c r="A334" s="302" t="s">
        <v>19</v>
      </c>
      <c r="AC334">
        <f t="shared" si="57"/>
        <v>0</v>
      </c>
    </row>
    <row r="335" spans="1:29">
      <c r="A335" s="302" t="s">
        <v>20</v>
      </c>
      <c r="B335" s="159" t="s">
        <v>21</v>
      </c>
      <c r="C335" s="159" t="s">
        <v>18</v>
      </c>
      <c r="D335" s="159" t="s">
        <v>22</v>
      </c>
      <c r="E335" s="159" t="s">
        <v>7</v>
      </c>
      <c r="F335" s="159" t="s">
        <v>13</v>
      </c>
      <c r="G335" s="159" t="s">
        <v>16</v>
      </c>
      <c r="H335" s="159" t="s">
        <v>23</v>
      </c>
      <c r="I335" s="328" t="s">
        <v>24</v>
      </c>
      <c r="J335" s="328" t="s">
        <v>25</v>
      </c>
      <c r="K335" s="328" t="s">
        <v>26</v>
      </c>
      <c r="L335" s="328" t="s">
        <v>27</v>
      </c>
      <c r="M335" s="328" t="s">
        <v>28</v>
      </c>
      <c r="AC335" t="e">
        <f t="shared" si="57"/>
        <v>#VALUE!</v>
      </c>
    </row>
    <row r="336" spans="1:29" s="304" customFormat="1">
      <c r="A336" s="303" t="str">
        <f>A26</f>
        <v>production of insulated pressure vessel</v>
      </c>
      <c r="B336" s="304">
        <v>1</v>
      </c>
      <c r="C336" t="s">
        <v>18</v>
      </c>
      <c r="D336" s="304" t="s">
        <v>2</v>
      </c>
      <c r="E336" s="304" t="s">
        <v>439</v>
      </c>
      <c r="F336" s="304" t="s">
        <v>58</v>
      </c>
      <c r="G336" s="304" t="s">
        <v>30</v>
      </c>
      <c r="H336" s="304">
        <v>1</v>
      </c>
      <c r="I336" s="304">
        <v>1</v>
      </c>
      <c r="J336" s="304" t="s">
        <v>31</v>
      </c>
      <c r="K336" s="304" t="s">
        <v>31</v>
      </c>
      <c r="L336" s="304" t="s">
        <v>31</v>
      </c>
      <c r="M336" s="304" t="s">
        <v>31</v>
      </c>
      <c r="O336" s="305" t="s">
        <v>447</v>
      </c>
      <c r="P336" s="306" t="s">
        <v>448</v>
      </c>
      <c r="Q336" s="306" t="s">
        <v>21</v>
      </c>
      <c r="R336" s="307" t="s">
        <v>449</v>
      </c>
      <c r="T336" s="306" t="s">
        <v>450</v>
      </c>
      <c r="W336" s="304" t="s">
        <v>520</v>
      </c>
      <c r="AC336" t="e">
        <f t="shared" si="57"/>
        <v>#VALUE!</v>
      </c>
    </row>
    <row r="337" spans="1:29">
      <c r="A337" s="47" t="s">
        <v>329</v>
      </c>
      <c r="B337">
        <f>R337</f>
        <v>18.888888888888889</v>
      </c>
      <c r="C337" t="s">
        <v>37</v>
      </c>
      <c r="D337" t="s">
        <v>40</v>
      </c>
      <c r="E337" t="s">
        <v>439</v>
      </c>
      <c r="F337" t="s">
        <v>58</v>
      </c>
      <c r="G337" t="s">
        <v>33</v>
      </c>
      <c r="H337">
        <v>5</v>
      </c>
      <c r="I337">
        <f t="shared" ref="I337" si="65">B337</f>
        <v>18.888888888888889</v>
      </c>
      <c r="J337" s="304" t="s">
        <v>31</v>
      </c>
      <c r="K337" s="304" t="s">
        <v>31</v>
      </c>
      <c r="L337">
        <f>0</f>
        <v>0</v>
      </c>
      <c r="M337">
        <f>2*B337</f>
        <v>37.777777777777779</v>
      </c>
      <c r="O337">
        <v>1</v>
      </c>
      <c r="P337">
        <v>0.9</v>
      </c>
      <c r="Q337">
        <v>17</v>
      </c>
      <c r="R337" s="331">
        <f t="shared" ref="R337" si="66">(Q337/P337)*O337</f>
        <v>18.888888888888889</v>
      </c>
      <c r="T337" t="s">
        <v>628</v>
      </c>
      <c r="AC337">
        <f t="shared" si="57"/>
        <v>37.777777777777779</v>
      </c>
    </row>
    <row r="338" spans="1:29" s="41" customFormat="1">
      <c r="A338" s="300" t="s">
        <v>5</v>
      </c>
      <c r="B338" s="108" t="str">
        <f>A348</f>
        <v xml:space="preserve">production of air system </v>
      </c>
      <c r="C338" s="39"/>
      <c r="AC338">
        <f t="shared" si="57"/>
        <v>0</v>
      </c>
    </row>
    <row r="339" spans="1:29">
      <c r="A339" s="101" t="s">
        <v>7</v>
      </c>
      <c r="B339" t="s">
        <v>439</v>
      </c>
      <c r="C339" s="102"/>
      <c r="AC339">
        <f t="shared" si="57"/>
        <v>0</v>
      </c>
    </row>
    <row r="340" spans="1:29">
      <c r="A340" s="101" t="s">
        <v>9</v>
      </c>
      <c r="B340" s="301" t="s">
        <v>632</v>
      </c>
      <c r="C340" s="102"/>
      <c r="AC340">
        <f t="shared" si="57"/>
        <v>0</v>
      </c>
    </row>
    <row r="341" spans="1:29" ht="50.25" customHeight="1">
      <c r="A341" s="101" t="s">
        <v>11</v>
      </c>
      <c r="B341" s="311" t="s">
        <v>633</v>
      </c>
      <c r="AC341">
        <f t="shared" si="57"/>
        <v>0</v>
      </c>
    </row>
    <row r="342" spans="1:29">
      <c r="A342" s="101" t="s">
        <v>13</v>
      </c>
      <c r="B342" t="s">
        <v>58</v>
      </c>
      <c r="AC342">
        <f t="shared" si="57"/>
        <v>0</v>
      </c>
    </row>
    <row r="343" spans="1:29">
      <c r="A343" s="101" t="s">
        <v>15</v>
      </c>
      <c r="B343">
        <f>B348</f>
        <v>1</v>
      </c>
      <c r="AC343">
        <f t="shared" si="57"/>
        <v>0</v>
      </c>
    </row>
    <row r="344" spans="1:29">
      <c r="A344" s="101" t="s">
        <v>16</v>
      </c>
      <c r="B344" t="s">
        <v>17</v>
      </c>
      <c r="AC344">
        <f t="shared" si="57"/>
        <v>0</v>
      </c>
    </row>
    <row r="345" spans="1:29">
      <c r="A345" s="101" t="s">
        <v>18</v>
      </c>
      <c r="B345" t="str">
        <f>C348</f>
        <v>unit</v>
      </c>
      <c r="AC345">
        <f t="shared" ref="AC345:AC408" si="67">M345-L345</f>
        <v>0</v>
      </c>
    </row>
    <row r="346" spans="1:29">
      <c r="A346" s="302" t="s">
        <v>19</v>
      </c>
      <c r="AC346">
        <f t="shared" si="67"/>
        <v>0</v>
      </c>
    </row>
    <row r="347" spans="1:29">
      <c r="A347" s="302" t="s">
        <v>20</v>
      </c>
      <c r="B347" s="159" t="s">
        <v>21</v>
      </c>
      <c r="C347" s="159" t="s">
        <v>18</v>
      </c>
      <c r="D347" s="159" t="s">
        <v>22</v>
      </c>
      <c r="E347" s="159" t="s">
        <v>7</v>
      </c>
      <c r="F347" s="159" t="s">
        <v>13</v>
      </c>
      <c r="G347" s="159" t="s">
        <v>16</v>
      </c>
      <c r="H347" s="159" t="s">
        <v>23</v>
      </c>
      <c r="I347" s="328" t="s">
        <v>24</v>
      </c>
      <c r="J347" s="328" t="s">
        <v>25</v>
      </c>
      <c r="K347" s="328" t="s">
        <v>26</v>
      </c>
      <c r="L347" s="328" t="s">
        <v>27</v>
      </c>
      <c r="M347" s="328" t="s">
        <v>28</v>
      </c>
      <c r="AC347" t="e">
        <f t="shared" si="67"/>
        <v>#VALUE!</v>
      </c>
    </row>
    <row r="348" spans="1:29" s="304" customFormat="1">
      <c r="A348" s="303" t="str">
        <f>A27</f>
        <v xml:space="preserve">production of air system </v>
      </c>
      <c r="B348" s="304">
        <v>1</v>
      </c>
      <c r="C348" t="s">
        <v>18</v>
      </c>
      <c r="D348" s="304" t="s">
        <v>2</v>
      </c>
      <c r="E348" s="304" t="s">
        <v>439</v>
      </c>
      <c r="F348" s="304" t="s">
        <v>58</v>
      </c>
      <c r="G348" s="304" t="s">
        <v>30</v>
      </c>
      <c r="H348" s="304">
        <v>1</v>
      </c>
      <c r="I348" s="304">
        <v>1</v>
      </c>
      <c r="J348" s="304" t="s">
        <v>31</v>
      </c>
      <c r="K348" s="304" t="s">
        <v>31</v>
      </c>
      <c r="L348" s="304" t="s">
        <v>31</v>
      </c>
      <c r="M348" s="304" t="s">
        <v>31</v>
      </c>
      <c r="O348" s="305" t="s">
        <v>447</v>
      </c>
      <c r="P348" s="306" t="s">
        <v>448</v>
      </c>
      <c r="Q348" s="306" t="s">
        <v>21</v>
      </c>
      <c r="R348" s="307" t="s">
        <v>449</v>
      </c>
      <c r="T348" s="306" t="s">
        <v>450</v>
      </c>
      <c r="W348" s="304" t="s">
        <v>520</v>
      </c>
      <c r="AC348" t="e">
        <f t="shared" si="67"/>
        <v>#VALUE!</v>
      </c>
    </row>
    <row r="349" spans="1:29">
      <c r="A349" s="47" t="s">
        <v>634</v>
      </c>
      <c r="B349">
        <f>R349</f>
        <v>2.8571428571428568</v>
      </c>
      <c r="C349" t="s">
        <v>18</v>
      </c>
      <c r="D349" t="s">
        <v>40</v>
      </c>
      <c r="E349" s="304" t="s">
        <v>439</v>
      </c>
      <c r="F349" t="s">
        <v>58</v>
      </c>
      <c r="G349" t="s">
        <v>33</v>
      </c>
      <c r="H349">
        <v>0</v>
      </c>
      <c r="I349">
        <f>B349</f>
        <v>2.8571428571428568</v>
      </c>
      <c r="J349" s="304" t="s">
        <v>31</v>
      </c>
      <c r="K349" s="304" t="s">
        <v>31</v>
      </c>
      <c r="L349" s="304" t="s">
        <v>31</v>
      </c>
      <c r="M349" s="304" t="s">
        <v>31</v>
      </c>
      <c r="O349">
        <f>10/35</f>
        <v>0.2857142857142857</v>
      </c>
      <c r="P349">
        <v>1</v>
      </c>
      <c r="Q349">
        <v>10</v>
      </c>
      <c r="R349" s="331">
        <f t="shared" ref="R349:R352" si="68">(Q349/P349)*O349</f>
        <v>2.8571428571428568</v>
      </c>
      <c r="AC349" t="e">
        <f t="shared" si="67"/>
        <v>#VALUE!</v>
      </c>
    </row>
    <row r="350" spans="1:29">
      <c r="A350" s="63" t="s">
        <v>635</v>
      </c>
      <c r="B350">
        <v>1</v>
      </c>
      <c r="C350" t="s">
        <v>18</v>
      </c>
      <c r="D350" t="s">
        <v>2</v>
      </c>
      <c r="E350" s="304" t="s">
        <v>439</v>
      </c>
      <c r="F350" t="s">
        <v>58</v>
      </c>
      <c r="G350" t="s">
        <v>33</v>
      </c>
      <c r="H350">
        <v>0</v>
      </c>
      <c r="I350">
        <f t="shared" ref="I350:I352" si="69">B350</f>
        <v>1</v>
      </c>
      <c r="J350" s="304" t="s">
        <v>31</v>
      </c>
      <c r="K350" s="304" t="s">
        <v>31</v>
      </c>
      <c r="L350" s="304" t="s">
        <v>31</v>
      </c>
      <c r="M350" s="304" t="s">
        <v>31</v>
      </c>
      <c r="N350" t="s">
        <v>636</v>
      </c>
      <c r="O350">
        <f>10/20</f>
        <v>0.5</v>
      </c>
      <c r="P350">
        <v>1</v>
      </c>
      <c r="Q350">
        <f>Z350</f>
        <v>2.0408163265306121E-2</v>
      </c>
      <c r="R350" s="331">
        <f t="shared" si="68"/>
        <v>1.020408163265306E-2</v>
      </c>
      <c r="W350" t="s">
        <v>637</v>
      </c>
      <c r="Y350" t="s">
        <v>638</v>
      </c>
      <c r="Z350">
        <f>B349/140</f>
        <v>2.0408163265306121E-2</v>
      </c>
      <c r="AA350" t="s">
        <v>639</v>
      </c>
      <c r="AC350" t="e">
        <f t="shared" si="67"/>
        <v>#VALUE!</v>
      </c>
    </row>
    <row r="351" spans="1:29">
      <c r="A351" s="63" t="s">
        <v>640</v>
      </c>
      <c r="B351">
        <v>1</v>
      </c>
      <c r="C351" t="s">
        <v>18</v>
      </c>
      <c r="D351" t="s">
        <v>2</v>
      </c>
      <c r="E351" s="304" t="s">
        <v>439</v>
      </c>
      <c r="F351" t="s">
        <v>58</v>
      </c>
      <c r="G351" t="s">
        <v>33</v>
      </c>
      <c r="H351">
        <v>0</v>
      </c>
      <c r="I351">
        <f t="shared" si="69"/>
        <v>1</v>
      </c>
      <c r="J351" s="304" t="s">
        <v>31</v>
      </c>
      <c r="K351" s="304" t="s">
        <v>31</v>
      </c>
      <c r="L351" s="304" t="s">
        <v>31</v>
      </c>
      <c r="M351" s="304" t="s">
        <v>31</v>
      </c>
      <c r="N351" t="s">
        <v>641</v>
      </c>
      <c r="O351">
        <f>10/20</f>
        <v>0.5</v>
      </c>
      <c r="P351">
        <v>1</v>
      </c>
      <c r="Q351">
        <v>1.02</v>
      </c>
      <c r="R351" s="331">
        <f t="shared" si="68"/>
        <v>0.51</v>
      </c>
      <c r="AC351" t="e">
        <f t="shared" si="67"/>
        <v>#VALUE!</v>
      </c>
    </row>
    <row r="352" spans="1:29">
      <c r="A352" s="63" t="s">
        <v>642</v>
      </c>
      <c r="B352">
        <v>1</v>
      </c>
      <c r="C352" t="s">
        <v>18</v>
      </c>
      <c r="D352" t="s">
        <v>2</v>
      </c>
      <c r="E352" s="304" t="s">
        <v>439</v>
      </c>
      <c r="F352" t="s">
        <v>58</v>
      </c>
      <c r="G352" t="s">
        <v>33</v>
      </c>
      <c r="H352">
        <v>0</v>
      </c>
      <c r="I352">
        <f t="shared" si="69"/>
        <v>1</v>
      </c>
      <c r="J352" s="304" t="s">
        <v>31</v>
      </c>
      <c r="K352" s="304" t="s">
        <v>31</v>
      </c>
      <c r="L352" s="304" t="s">
        <v>31</v>
      </c>
      <c r="M352" s="304" t="s">
        <v>31</v>
      </c>
      <c r="N352" t="s">
        <v>643</v>
      </c>
      <c r="O352">
        <f>10/50</f>
        <v>0.2</v>
      </c>
      <c r="P352">
        <v>1</v>
      </c>
      <c r="Q352">
        <v>8</v>
      </c>
      <c r="R352" s="331">
        <f t="shared" si="68"/>
        <v>1.6</v>
      </c>
      <c r="AC352" t="e">
        <f t="shared" si="67"/>
        <v>#VALUE!</v>
      </c>
    </row>
    <row r="353" spans="1:29" s="41" customFormat="1">
      <c r="A353" s="300" t="s">
        <v>5</v>
      </c>
      <c r="B353" s="108" t="str">
        <f>A363</f>
        <v>Production of Intercooler / humidifier</v>
      </c>
      <c r="C353" s="39"/>
      <c r="AC353">
        <f t="shared" si="67"/>
        <v>0</v>
      </c>
    </row>
    <row r="354" spans="1:29">
      <c r="A354" s="101" t="s">
        <v>7</v>
      </c>
      <c r="B354" t="s">
        <v>439</v>
      </c>
      <c r="C354" s="102"/>
      <c r="AC354">
        <f t="shared" si="67"/>
        <v>0</v>
      </c>
    </row>
    <row r="355" spans="1:29">
      <c r="A355" s="101" t="s">
        <v>9</v>
      </c>
      <c r="B355" s="301" t="s">
        <v>644</v>
      </c>
      <c r="C355" s="102"/>
      <c r="AC355">
        <f t="shared" si="67"/>
        <v>0</v>
      </c>
    </row>
    <row r="356" spans="1:29" ht="50.25" customHeight="1">
      <c r="A356" s="101" t="s">
        <v>11</v>
      </c>
      <c r="B356" s="311" t="s">
        <v>645</v>
      </c>
      <c r="AC356">
        <f t="shared" si="67"/>
        <v>0</v>
      </c>
    </row>
    <row r="357" spans="1:29">
      <c r="A357" s="101" t="s">
        <v>13</v>
      </c>
      <c r="B357" t="s">
        <v>58</v>
      </c>
      <c r="AC357">
        <f t="shared" si="67"/>
        <v>0</v>
      </c>
    </row>
    <row r="358" spans="1:29">
      <c r="A358" s="101" t="s">
        <v>15</v>
      </c>
      <c r="B358">
        <f>B363</f>
        <v>1</v>
      </c>
      <c r="AC358">
        <f t="shared" si="67"/>
        <v>0</v>
      </c>
    </row>
    <row r="359" spans="1:29">
      <c r="A359" s="101" t="s">
        <v>16</v>
      </c>
      <c r="B359" t="s">
        <v>17</v>
      </c>
      <c r="AC359">
        <f t="shared" si="67"/>
        <v>0</v>
      </c>
    </row>
    <row r="360" spans="1:29">
      <c r="A360" s="101" t="s">
        <v>18</v>
      </c>
      <c r="B360" t="str">
        <f>C363</f>
        <v>unit</v>
      </c>
      <c r="AC360">
        <f t="shared" si="67"/>
        <v>0</v>
      </c>
    </row>
    <row r="361" spans="1:29">
      <c r="A361" s="302" t="s">
        <v>19</v>
      </c>
      <c r="AC361">
        <f t="shared" si="67"/>
        <v>0</v>
      </c>
    </row>
    <row r="362" spans="1:29">
      <c r="A362" s="302" t="s">
        <v>20</v>
      </c>
      <c r="B362" s="159" t="s">
        <v>21</v>
      </c>
      <c r="C362" s="159" t="s">
        <v>18</v>
      </c>
      <c r="D362" s="159" t="s">
        <v>22</v>
      </c>
      <c r="E362" s="159" t="s">
        <v>7</v>
      </c>
      <c r="F362" s="159" t="s">
        <v>13</v>
      </c>
      <c r="G362" s="159" t="s">
        <v>16</v>
      </c>
      <c r="H362" s="159" t="s">
        <v>23</v>
      </c>
      <c r="I362" s="328" t="s">
        <v>24</v>
      </c>
      <c r="J362" s="328" t="s">
        <v>25</v>
      </c>
      <c r="K362" s="328" t="s">
        <v>26</v>
      </c>
      <c r="L362" s="328" t="s">
        <v>27</v>
      </c>
      <c r="M362" s="328" t="s">
        <v>28</v>
      </c>
      <c r="AC362" t="e">
        <f t="shared" si="67"/>
        <v>#VALUE!</v>
      </c>
    </row>
    <row r="363" spans="1:29" s="304" customFormat="1">
      <c r="A363" s="303" t="str">
        <f>A350</f>
        <v>Production of Intercooler / humidifier</v>
      </c>
      <c r="B363" s="304">
        <v>1</v>
      </c>
      <c r="C363" t="s">
        <v>18</v>
      </c>
      <c r="D363" s="304" t="s">
        <v>2</v>
      </c>
      <c r="E363" s="304" t="s">
        <v>439</v>
      </c>
      <c r="F363" s="304" t="s">
        <v>58</v>
      </c>
      <c r="G363" s="304" t="s">
        <v>30</v>
      </c>
      <c r="H363" s="304">
        <v>1</v>
      </c>
      <c r="I363" s="304">
        <v>1</v>
      </c>
      <c r="J363" s="304" t="s">
        <v>31</v>
      </c>
      <c r="K363" s="304" t="s">
        <v>31</v>
      </c>
      <c r="L363" s="304" t="s">
        <v>31</v>
      </c>
      <c r="M363" s="304" t="s">
        <v>31</v>
      </c>
      <c r="O363" s="305" t="s">
        <v>447</v>
      </c>
      <c r="P363" s="306" t="s">
        <v>448</v>
      </c>
      <c r="Q363" s="306" t="s">
        <v>21</v>
      </c>
      <c r="R363" s="307" t="s">
        <v>449</v>
      </c>
      <c r="T363" s="306" t="s">
        <v>450</v>
      </c>
      <c r="W363" s="304" t="s">
        <v>520</v>
      </c>
      <c r="AC363" t="e">
        <f t="shared" si="67"/>
        <v>#VALUE!</v>
      </c>
    </row>
    <row r="364" spans="1:29">
      <c r="A364" s="47" t="s">
        <v>598</v>
      </c>
      <c r="B364">
        <f>R364</f>
        <v>14</v>
      </c>
      <c r="C364" t="s">
        <v>37</v>
      </c>
      <c r="D364" t="s">
        <v>40</v>
      </c>
      <c r="E364" t="s">
        <v>439</v>
      </c>
      <c r="F364" t="s">
        <v>58</v>
      </c>
      <c r="G364" t="s">
        <v>33</v>
      </c>
      <c r="H364">
        <v>0</v>
      </c>
      <c r="I364">
        <f>B364</f>
        <v>14</v>
      </c>
      <c r="J364" s="304" t="s">
        <v>31</v>
      </c>
      <c r="K364" s="304" t="s">
        <v>31</v>
      </c>
      <c r="L364" s="304" t="s">
        <v>31</v>
      </c>
      <c r="M364" s="304" t="s">
        <v>31</v>
      </c>
      <c r="O364">
        <v>1</v>
      </c>
      <c r="P364">
        <v>1</v>
      </c>
      <c r="Q364">
        <v>14</v>
      </c>
      <c r="R364" s="309">
        <f t="shared" ref="R364:R365" si="70">(Q364/P364)*O364</f>
        <v>14</v>
      </c>
      <c r="T364" s="325"/>
      <c r="W364" s="330"/>
      <c r="X364" s="326"/>
      <c r="AC364" t="e">
        <f t="shared" si="67"/>
        <v>#VALUE!</v>
      </c>
    </row>
    <row r="365" spans="1:29">
      <c r="A365" s="47" t="s">
        <v>646</v>
      </c>
      <c r="B365">
        <f>R365</f>
        <v>14</v>
      </c>
      <c r="C365" t="s">
        <v>37</v>
      </c>
      <c r="D365" t="s">
        <v>40</v>
      </c>
      <c r="E365" t="s">
        <v>439</v>
      </c>
      <c r="F365" t="s">
        <v>58</v>
      </c>
      <c r="G365" t="s">
        <v>33</v>
      </c>
      <c r="H365">
        <v>0</v>
      </c>
      <c r="I365">
        <f>B365</f>
        <v>14</v>
      </c>
      <c r="J365" s="304" t="s">
        <v>31</v>
      </c>
      <c r="K365" s="304" t="s">
        <v>31</v>
      </c>
      <c r="L365" s="304" t="s">
        <v>31</v>
      </c>
      <c r="M365" s="304" t="s">
        <v>31</v>
      </c>
      <c r="O365">
        <v>1</v>
      </c>
      <c r="P365">
        <v>1</v>
      </c>
      <c r="Q365">
        <v>14</v>
      </c>
      <c r="R365" s="309">
        <f t="shared" si="70"/>
        <v>14</v>
      </c>
      <c r="AC365" t="e">
        <f t="shared" si="67"/>
        <v>#VALUE!</v>
      </c>
    </row>
    <row r="366" spans="1:29" s="41" customFormat="1">
      <c r="A366" s="300" t="s">
        <v>5</v>
      </c>
      <c r="B366" s="108" t="str">
        <f>A376</f>
        <v>Production of Air Filter</v>
      </c>
      <c r="C366" s="39"/>
      <c r="AC366">
        <f t="shared" si="67"/>
        <v>0</v>
      </c>
    </row>
    <row r="367" spans="1:29">
      <c r="A367" s="101" t="s">
        <v>7</v>
      </c>
      <c r="B367" t="s">
        <v>439</v>
      </c>
      <c r="C367" s="102"/>
      <c r="AC367">
        <f t="shared" si="67"/>
        <v>0</v>
      </c>
    </row>
    <row r="368" spans="1:29">
      <c r="A368" s="101" t="s">
        <v>9</v>
      </c>
      <c r="B368" s="301" t="s">
        <v>647</v>
      </c>
      <c r="C368" s="102"/>
      <c r="AC368">
        <f t="shared" si="67"/>
        <v>0</v>
      </c>
    </row>
    <row r="369" spans="1:29" ht="50.25" customHeight="1">
      <c r="A369" s="101" t="s">
        <v>11</v>
      </c>
      <c r="B369" s="311" t="s">
        <v>648</v>
      </c>
      <c r="AC369">
        <f t="shared" si="67"/>
        <v>0</v>
      </c>
    </row>
    <row r="370" spans="1:29">
      <c r="A370" s="101" t="s">
        <v>13</v>
      </c>
      <c r="B370" t="s">
        <v>58</v>
      </c>
      <c r="AC370">
        <f t="shared" si="67"/>
        <v>0</v>
      </c>
    </row>
    <row r="371" spans="1:29">
      <c r="A371" s="101" t="s">
        <v>15</v>
      </c>
      <c r="B371">
        <f>B376</f>
        <v>1</v>
      </c>
      <c r="AC371">
        <f t="shared" si="67"/>
        <v>0</v>
      </c>
    </row>
    <row r="372" spans="1:29">
      <c r="A372" s="101" t="s">
        <v>16</v>
      </c>
      <c r="B372" t="s">
        <v>17</v>
      </c>
      <c r="AC372">
        <f t="shared" si="67"/>
        <v>0</v>
      </c>
    </row>
    <row r="373" spans="1:29">
      <c r="A373" s="101" t="s">
        <v>18</v>
      </c>
      <c r="B373" t="str">
        <f>C376</f>
        <v>unit</v>
      </c>
      <c r="AC373">
        <f t="shared" si="67"/>
        <v>0</v>
      </c>
    </row>
    <row r="374" spans="1:29">
      <c r="A374" s="302" t="s">
        <v>19</v>
      </c>
      <c r="AC374">
        <f t="shared" si="67"/>
        <v>0</v>
      </c>
    </row>
    <row r="375" spans="1:29">
      <c r="A375" s="302" t="s">
        <v>20</v>
      </c>
      <c r="B375" s="159" t="s">
        <v>21</v>
      </c>
      <c r="C375" s="159" t="s">
        <v>18</v>
      </c>
      <c r="D375" s="159" t="s">
        <v>22</v>
      </c>
      <c r="E375" s="159" t="s">
        <v>7</v>
      </c>
      <c r="F375" s="159" t="s">
        <v>13</v>
      </c>
      <c r="G375" s="159" t="s">
        <v>16</v>
      </c>
      <c r="H375" s="159" t="s">
        <v>23</v>
      </c>
      <c r="I375" s="328" t="s">
        <v>24</v>
      </c>
      <c r="J375" s="328" t="s">
        <v>25</v>
      </c>
      <c r="K375" s="328" t="s">
        <v>26</v>
      </c>
      <c r="L375" s="328" t="s">
        <v>27</v>
      </c>
      <c r="M375" s="328" t="s">
        <v>28</v>
      </c>
      <c r="AC375" t="e">
        <f t="shared" si="67"/>
        <v>#VALUE!</v>
      </c>
    </row>
    <row r="376" spans="1:29" s="304" customFormat="1">
      <c r="A376" s="303" t="str">
        <f>A351</f>
        <v>Production of Air Filter</v>
      </c>
      <c r="B376" s="304">
        <v>1</v>
      </c>
      <c r="C376" t="s">
        <v>18</v>
      </c>
      <c r="D376" s="304" t="s">
        <v>2</v>
      </c>
      <c r="E376" s="304" t="s">
        <v>439</v>
      </c>
      <c r="F376" s="304" t="s">
        <v>58</v>
      </c>
      <c r="G376" s="304" t="s">
        <v>30</v>
      </c>
      <c r="H376" s="304">
        <v>1</v>
      </c>
      <c r="I376" s="304">
        <v>1</v>
      </c>
      <c r="J376" s="304" t="s">
        <v>31</v>
      </c>
      <c r="K376" s="304" t="s">
        <v>31</v>
      </c>
      <c r="L376" s="304" t="s">
        <v>31</v>
      </c>
      <c r="M376" s="304" t="s">
        <v>31</v>
      </c>
      <c r="O376" s="305" t="s">
        <v>447</v>
      </c>
      <c r="P376" s="306" t="s">
        <v>448</v>
      </c>
      <c r="Q376" s="306" t="s">
        <v>21</v>
      </c>
      <c r="R376" s="307" t="s">
        <v>449</v>
      </c>
      <c r="T376" s="306" t="s">
        <v>450</v>
      </c>
      <c r="W376" s="304" t="s">
        <v>520</v>
      </c>
      <c r="AC376" t="e">
        <f t="shared" si="67"/>
        <v>#VALUE!</v>
      </c>
    </row>
    <row r="377" spans="1:29">
      <c r="A377" s="47" t="s">
        <v>649</v>
      </c>
      <c r="B377">
        <f>R377</f>
        <v>0.47368421052631582</v>
      </c>
      <c r="C377" t="s">
        <v>37</v>
      </c>
      <c r="D377" t="s">
        <v>40</v>
      </c>
      <c r="E377" s="304" t="s">
        <v>439</v>
      </c>
      <c r="F377" t="s">
        <v>58</v>
      </c>
      <c r="G377" t="s">
        <v>33</v>
      </c>
      <c r="H377">
        <v>5</v>
      </c>
      <c r="I377">
        <f>B377</f>
        <v>0.47368421052631582</v>
      </c>
      <c r="J377" t="s">
        <v>31</v>
      </c>
      <c r="K377" t="s">
        <v>31</v>
      </c>
      <c r="L377">
        <f>0.5*B377</f>
        <v>0.23684210526315791</v>
      </c>
      <c r="M377">
        <f>1.5*B377</f>
        <v>0.71052631578947367</v>
      </c>
      <c r="O377">
        <f>10/20</f>
        <v>0.5</v>
      </c>
      <c r="P377">
        <v>0.95</v>
      </c>
      <c r="Q377" s="332">
        <v>0.9</v>
      </c>
      <c r="R377" s="309">
        <f t="shared" ref="R377:R380" si="71">(Q377/P377)*O377</f>
        <v>0.47368421052631582</v>
      </c>
      <c r="T377" t="s">
        <v>650</v>
      </c>
      <c r="AC377">
        <f t="shared" si="67"/>
        <v>0.47368421052631576</v>
      </c>
    </row>
    <row r="378" spans="1:29">
      <c r="A378" s="47" t="s">
        <v>334</v>
      </c>
      <c r="B378">
        <f t="shared" ref="B378:B380" si="72">R378</f>
        <v>0.22222222222222224</v>
      </c>
      <c r="C378" t="s">
        <v>37</v>
      </c>
      <c r="D378" t="s">
        <v>40</v>
      </c>
      <c r="E378" s="304" t="s">
        <v>439</v>
      </c>
      <c r="F378" t="s">
        <v>58</v>
      </c>
      <c r="G378" t="s">
        <v>33</v>
      </c>
      <c r="H378">
        <v>5</v>
      </c>
      <c r="I378">
        <f t="shared" ref="I378:I380" si="73">B378</f>
        <v>0.22222222222222224</v>
      </c>
      <c r="J378" t="s">
        <v>31</v>
      </c>
      <c r="K378" t="s">
        <v>31</v>
      </c>
      <c r="L378">
        <f t="shared" ref="L378:L380" si="74">0.5*B378</f>
        <v>0.11111111111111112</v>
      </c>
      <c r="M378">
        <f t="shared" ref="M378:M380" si="75">1.5*B378</f>
        <v>0.33333333333333337</v>
      </c>
      <c r="O378">
        <f>10/5</f>
        <v>2</v>
      </c>
      <c r="P378">
        <v>0.9</v>
      </c>
      <c r="Q378" s="332">
        <v>0.1</v>
      </c>
      <c r="R378" s="309">
        <f t="shared" si="71"/>
        <v>0.22222222222222224</v>
      </c>
      <c r="T378" t="s">
        <v>650</v>
      </c>
      <c r="AC378">
        <f t="shared" si="67"/>
        <v>0.22222222222222227</v>
      </c>
    </row>
    <row r="379" spans="1:29">
      <c r="A379" s="47" t="s">
        <v>651</v>
      </c>
      <c r="B379">
        <f t="shared" si="72"/>
        <v>2.2222222222222223E-2</v>
      </c>
      <c r="C379" t="s">
        <v>37</v>
      </c>
      <c r="D379" t="s">
        <v>40</v>
      </c>
      <c r="E379" s="304" t="s">
        <v>439</v>
      </c>
      <c r="F379" t="s">
        <v>58</v>
      </c>
      <c r="G379" t="s">
        <v>33</v>
      </c>
      <c r="H379">
        <v>5</v>
      </c>
      <c r="I379">
        <f t="shared" si="73"/>
        <v>2.2222222222222223E-2</v>
      </c>
      <c r="J379" t="s">
        <v>31</v>
      </c>
      <c r="K379" t="s">
        <v>31</v>
      </c>
      <c r="L379">
        <f t="shared" si="74"/>
        <v>1.1111111111111112E-2</v>
      </c>
      <c r="M379">
        <f t="shared" si="75"/>
        <v>3.3333333333333333E-2</v>
      </c>
      <c r="O379">
        <f t="shared" ref="O379:O380" si="76">10/5</f>
        <v>2</v>
      </c>
      <c r="P379">
        <v>0.9</v>
      </c>
      <c r="Q379" s="332">
        <v>0.01</v>
      </c>
      <c r="R379" s="309">
        <f t="shared" si="71"/>
        <v>2.2222222222222223E-2</v>
      </c>
      <c r="T379" t="s">
        <v>650</v>
      </c>
      <c r="AC379">
        <f t="shared" si="67"/>
        <v>2.222222222222222E-2</v>
      </c>
    </row>
    <row r="380" spans="1:29">
      <c r="A380" s="47" t="s">
        <v>334</v>
      </c>
      <c r="B380">
        <f t="shared" si="72"/>
        <v>2.2222222222222223E-2</v>
      </c>
      <c r="C380" t="s">
        <v>37</v>
      </c>
      <c r="D380" t="s">
        <v>40</v>
      </c>
      <c r="E380" s="304" t="s">
        <v>439</v>
      </c>
      <c r="F380" t="s">
        <v>58</v>
      </c>
      <c r="G380" t="s">
        <v>33</v>
      </c>
      <c r="H380">
        <v>5</v>
      </c>
      <c r="I380">
        <f t="shared" si="73"/>
        <v>2.2222222222222223E-2</v>
      </c>
      <c r="J380" t="s">
        <v>31</v>
      </c>
      <c r="K380" t="s">
        <v>31</v>
      </c>
      <c r="L380">
        <f t="shared" si="74"/>
        <v>1.1111111111111112E-2</v>
      </c>
      <c r="M380">
        <f t="shared" si="75"/>
        <v>3.3333333333333333E-2</v>
      </c>
      <c r="O380">
        <f t="shared" si="76"/>
        <v>2</v>
      </c>
      <c r="P380">
        <v>0.9</v>
      </c>
      <c r="Q380" s="332">
        <v>0.01</v>
      </c>
      <c r="R380" s="309">
        <f t="shared" si="71"/>
        <v>2.2222222222222223E-2</v>
      </c>
      <c r="T380" t="s">
        <v>650</v>
      </c>
      <c r="AC380">
        <f t="shared" si="67"/>
        <v>2.222222222222222E-2</v>
      </c>
    </row>
    <row r="381" spans="1:29" s="41" customFormat="1">
      <c r="A381" s="300" t="s">
        <v>5</v>
      </c>
      <c r="B381" s="108" t="str">
        <f>A391</f>
        <v>Production of DC/DC converter as part of compressor</v>
      </c>
      <c r="C381" s="39"/>
      <c r="AC381">
        <f t="shared" si="67"/>
        <v>0</v>
      </c>
    </row>
    <row r="382" spans="1:29">
      <c r="A382" s="101" t="s">
        <v>7</v>
      </c>
      <c r="B382" t="s">
        <v>439</v>
      </c>
      <c r="C382" s="102"/>
      <c r="AC382">
        <f t="shared" si="67"/>
        <v>0</v>
      </c>
    </row>
    <row r="383" spans="1:29">
      <c r="A383" s="101" t="s">
        <v>9</v>
      </c>
      <c r="B383" s="301" t="s">
        <v>652</v>
      </c>
      <c r="C383" s="102"/>
      <c r="AC383">
        <f t="shared" si="67"/>
        <v>0</v>
      </c>
    </row>
    <row r="384" spans="1:29" ht="50.25" customHeight="1">
      <c r="A384" s="101" t="s">
        <v>11</v>
      </c>
      <c r="B384" s="311" t="s">
        <v>653</v>
      </c>
      <c r="AC384">
        <f t="shared" si="67"/>
        <v>0</v>
      </c>
    </row>
    <row r="385" spans="1:29">
      <c r="A385" s="101" t="s">
        <v>13</v>
      </c>
      <c r="B385" t="s">
        <v>58</v>
      </c>
      <c r="AC385">
        <f t="shared" si="67"/>
        <v>0</v>
      </c>
    </row>
    <row r="386" spans="1:29">
      <c r="A386" s="101" t="s">
        <v>15</v>
      </c>
      <c r="B386">
        <f>B391</f>
        <v>1</v>
      </c>
      <c r="AC386">
        <f t="shared" si="67"/>
        <v>0</v>
      </c>
    </row>
    <row r="387" spans="1:29">
      <c r="A387" s="101" t="s">
        <v>16</v>
      </c>
      <c r="B387" t="s">
        <v>17</v>
      </c>
      <c r="AC387">
        <f t="shared" si="67"/>
        <v>0</v>
      </c>
    </row>
    <row r="388" spans="1:29">
      <c r="A388" s="101" t="s">
        <v>18</v>
      </c>
      <c r="B388" t="str">
        <f>C391</f>
        <v>unit</v>
      </c>
      <c r="AC388">
        <f t="shared" si="67"/>
        <v>0</v>
      </c>
    </row>
    <row r="389" spans="1:29">
      <c r="A389" s="302" t="s">
        <v>19</v>
      </c>
      <c r="AC389">
        <f t="shared" si="67"/>
        <v>0</v>
      </c>
    </row>
    <row r="390" spans="1:29">
      <c r="A390" s="302" t="s">
        <v>20</v>
      </c>
      <c r="B390" s="159" t="s">
        <v>21</v>
      </c>
      <c r="C390" s="159" t="s">
        <v>18</v>
      </c>
      <c r="D390" s="159" t="s">
        <v>22</v>
      </c>
      <c r="E390" s="159" t="s">
        <v>7</v>
      </c>
      <c r="F390" s="159" t="s">
        <v>13</v>
      </c>
      <c r="G390" s="159" t="s">
        <v>16</v>
      </c>
      <c r="H390" s="159" t="s">
        <v>23</v>
      </c>
      <c r="I390" s="328" t="s">
        <v>24</v>
      </c>
      <c r="J390" s="328" t="s">
        <v>25</v>
      </c>
      <c r="K390" s="328" t="s">
        <v>26</v>
      </c>
      <c r="L390" s="328" t="s">
        <v>27</v>
      </c>
      <c r="M390" s="328" t="s">
        <v>28</v>
      </c>
      <c r="AC390" t="e">
        <f t="shared" si="67"/>
        <v>#VALUE!</v>
      </c>
    </row>
    <row r="391" spans="1:29" s="304" customFormat="1">
      <c r="A391" s="303" t="str">
        <f>A352</f>
        <v>Production of DC/DC converter as part of compressor</v>
      </c>
      <c r="B391" s="304">
        <v>1</v>
      </c>
      <c r="C391" t="s">
        <v>18</v>
      </c>
      <c r="D391" s="304" t="s">
        <v>2</v>
      </c>
      <c r="E391" s="304" t="s">
        <v>439</v>
      </c>
      <c r="F391" s="304" t="s">
        <v>58</v>
      </c>
      <c r="G391" s="304" t="s">
        <v>30</v>
      </c>
      <c r="H391" s="304">
        <v>1</v>
      </c>
      <c r="I391" s="304">
        <v>1</v>
      </c>
      <c r="J391" s="304" t="s">
        <v>31</v>
      </c>
      <c r="K391" s="304" t="s">
        <v>31</v>
      </c>
      <c r="L391" s="304" t="s">
        <v>31</v>
      </c>
      <c r="M391" s="304" t="s">
        <v>31</v>
      </c>
      <c r="O391" s="305" t="s">
        <v>447</v>
      </c>
      <c r="P391" s="306" t="s">
        <v>448</v>
      </c>
      <c r="Q391" s="306" t="s">
        <v>21</v>
      </c>
      <c r="R391" s="307" t="s">
        <v>449</v>
      </c>
      <c r="T391" s="306" t="s">
        <v>450</v>
      </c>
      <c r="W391" s="304" t="s">
        <v>520</v>
      </c>
      <c r="AC391" t="e">
        <f t="shared" si="67"/>
        <v>#VALUE!</v>
      </c>
    </row>
    <row r="392" spans="1:29">
      <c r="A392" s="327" t="s">
        <v>654</v>
      </c>
      <c r="B392">
        <f t="shared" ref="B392:B397" si="77">R392</f>
        <v>2.7474489795918369</v>
      </c>
      <c r="C392" t="s">
        <v>37</v>
      </c>
      <c r="D392" t="s">
        <v>40</v>
      </c>
      <c r="E392" t="s">
        <v>439</v>
      </c>
      <c r="F392" t="s">
        <v>58</v>
      </c>
      <c r="G392" t="s">
        <v>33</v>
      </c>
      <c r="H392">
        <v>5</v>
      </c>
      <c r="I392">
        <f>B392</f>
        <v>2.7474489795918369</v>
      </c>
      <c r="J392" s="304" t="s">
        <v>31</v>
      </c>
      <c r="K392" s="304" t="s">
        <v>31</v>
      </c>
      <c r="L392">
        <f>0.9*B392</f>
        <v>2.4727040816326533</v>
      </c>
      <c r="M392">
        <f>1.1*B392</f>
        <v>3.0221938775510209</v>
      </c>
      <c r="O392">
        <f>10/20</f>
        <v>0.5</v>
      </c>
      <c r="P392">
        <v>0.98</v>
      </c>
      <c r="Q392">
        <v>5.3849999999999998</v>
      </c>
      <c r="R392" s="309">
        <f t="shared" ref="R392:R397" si="78">(Q392/P392)*O392</f>
        <v>2.7474489795918369</v>
      </c>
      <c r="T392" t="s">
        <v>621</v>
      </c>
      <c r="AC392">
        <f t="shared" si="67"/>
        <v>0.54948979591836755</v>
      </c>
    </row>
    <row r="393" spans="1:29">
      <c r="A393" s="327" t="s">
        <v>618</v>
      </c>
      <c r="B393">
        <f t="shared" si="77"/>
        <v>7.7777777777777779E-2</v>
      </c>
      <c r="C393" t="s">
        <v>37</v>
      </c>
      <c r="D393" t="s">
        <v>40</v>
      </c>
      <c r="E393" t="s">
        <v>439</v>
      </c>
      <c r="F393" t="s">
        <v>58</v>
      </c>
      <c r="G393" t="s">
        <v>33</v>
      </c>
      <c r="H393">
        <v>5</v>
      </c>
      <c r="I393">
        <f>B393</f>
        <v>7.7777777777777779E-2</v>
      </c>
      <c r="J393" s="304" t="s">
        <v>31</v>
      </c>
      <c r="K393" s="304" t="s">
        <v>31</v>
      </c>
      <c r="L393">
        <f>0.9*B393</f>
        <v>7.0000000000000007E-2</v>
      </c>
      <c r="M393">
        <f>1.1*B393</f>
        <v>8.5555555555555565E-2</v>
      </c>
      <c r="O393">
        <f t="shared" ref="O393:O397" si="79">10/20</f>
        <v>0.5</v>
      </c>
      <c r="P393">
        <v>0.99</v>
      </c>
      <c r="Q393">
        <v>0.154</v>
      </c>
      <c r="R393" s="309">
        <f t="shared" si="78"/>
        <v>7.7777777777777779E-2</v>
      </c>
      <c r="T393" t="s">
        <v>621</v>
      </c>
      <c r="AC393">
        <f t="shared" si="67"/>
        <v>1.5555555555555559E-2</v>
      </c>
    </row>
    <row r="394" spans="1:29">
      <c r="A394" s="47" t="s">
        <v>334</v>
      </c>
      <c r="B394">
        <f t="shared" si="77"/>
        <v>3.888888888888889E-2</v>
      </c>
      <c r="C394" t="s">
        <v>37</v>
      </c>
      <c r="D394" t="s">
        <v>40</v>
      </c>
      <c r="E394" t="s">
        <v>439</v>
      </c>
      <c r="F394" t="s">
        <v>58</v>
      </c>
      <c r="G394" t="s">
        <v>33</v>
      </c>
      <c r="H394">
        <v>5</v>
      </c>
      <c r="I394">
        <f t="shared" ref="I394:I397" si="80">B394</f>
        <v>3.888888888888889E-2</v>
      </c>
      <c r="J394" s="304" t="s">
        <v>31</v>
      </c>
      <c r="K394" s="304" t="s">
        <v>31</v>
      </c>
      <c r="L394">
        <f t="shared" ref="L394:L397" si="81">0.9*B394</f>
        <v>3.5000000000000003E-2</v>
      </c>
      <c r="M394">
        <f t="shared" ref="M394:M397" si="82">1.1*B394</f>
        <v>4.2777777777777783E-2</v>
      </c>
      <c r="O394">
        <f t="shared" si="79"/>
        <v>0.5</v>
      </c>
      <c r="P394">
        <v>0.99</v>
      </c>
      <c r="Q394" s="332">
        <v>7.6999999999999999E-2</v>
      </c>
      <c r="R394" s="309">
        <f t="shared" si="78"/>
        <v>3.888888888888889E-2</v>
      </c>
      <c r="T394" t="s">
        <v>621</v>
      </c>
      <c r="AC394">
        <f t="shared" si="67"/>
        <v>7.7777777777777793E-3</v>
      </c>
    </row>
    <row r="395" spans="1:29">
      <c r="A395" s="47" t="s">
        <v>608</v>
      </c>
      <c r="B395">
        <f t="shared" si="77"/>
        <v>3.888888888888889E-2</v>
      </c>
      <c r="C395" t="s">
        <v>37</v>
      </c>
      <c r="D395" t="s">
        <v>40</v>
      </c>
      <c r="E395" t="s">
        <v>439</v>
      </c>
      <c r="F395" t="s">
        <v>128</v>
      </c>
      <c r="G395" t="s">
        <v>33</v>
      </c>
      <c r="H395">
        <v>5</v>
      </c>
      <c r="I395">
        <f t="shared" si="80"/>
        <v>3.888888888888889E-2</v>
      </c>
      <c r="J395" s="304" t="s">
        <v>31</v>
      </c>
      <c r="K395" s="304" t="s">
        <v>31</v>
      </c>
      <c r="L395">
        <f t="shared" si="81"/>
        <v>3.5000000000000003E-2</v>
      </c>
      <c r="M395">
        <f t="shared" si="82"/>
        <v>4.2777777777777783E-2</v>
      </c>
      <c r="O395">
        <f t="shared" si="79"/>
        <v>0.5</v>
      </c>
      <c r="P395">
        <v>0.99</v>
      </c>
      <c r="Q395" s="209">
        <v>7.6999999999999999E-2</v>
      </c>
      <c r="R395" s="331">
        <f t="shared" si="78"/>
        <v>3.888888888888889E-2</v>
      </c>
      <c r="T395" t="s">
        <v>621</v>
      </c>
      <c r="AC395">
        <f t="shared" si="67"/>
        <v>7.7777777777777793E-3</v>
      </c>
    </row>
    <row r="396" spans="1:29">
      <c r="A396" s="47" t="s">
        <v>655</v>
      </c>
      <c r="B396">
        <f t="shared" si="77"/>
        <v>1.1656565656565656</v>
      </c>
      <c r="C396" t="s">
        <v>37</v>
      </c>
      <c r="D396" t="s">
        <v>40</v>
      </c>
      <c r="E396" t="s">
        <v>439</v>
      </c>
      <c r="F396" t="s">
        <v>58</v>
      </c>
      <c r="G396" t="s">
        <v>33</v>
      </c>
      <c r="H396">
        <v>5</v>
      </c>
      <c r="I396">
        <f t="shared" si="80"/>
        <v>1.1656565656565656</v>
      </c>
      <c r="J396" t="s">
        <v>31</v>
      </c>
      <c r="K396" t="s">
        <v>31</v>
      </c>
      <c r="L396">
        <f t="shared" si="81"/>
        <v>1.0490909090909091</v>
      </c>
      <c r="M396">
        <f t="shared" si="82"/>
        <v>1.2822222222222224</v>
      </c>
      <c r="O396">
        <f t="shared" si="79"/>
        <v>0.5</v>
      </c>
      <c r="P396">
        <v>0.99</v>
      </c>
      <c r="Q396">
        <v>2.3079999999999998</v>
      </c>
      <c r="R396" s="331">
        <f t="shared" si="78"/>
        <v>1.1656565656565656</v>
      </c>
      <c r="T396" t="s">
        <v>621</v>
      </c>
      <c r="AC396">
        <f t="shared" si="67"/>
        <v>0.2331313131313133</v>
      </c>
    </row>
    <row r="397" spans="1:29">
      <c r="A397" s="47" t="s">
        <v>656</v>
      </c>
      <c r="B397">
        <f t="shared" si="77"/>
        <v>2.8342105263157893</v>
      </c>
      <c r="C397" t="s">
        <v>37</v>
      </c>
      <c r="D397" t="s">
        <v>40</v>
      </c>
      <c r="E397" t="s">
        <v>439</v>
      </c>
      <c r="F397" t="s">
        <v>58</v>
      </c>
      <c r="G397" t="s">
        <v>33</v>
      </c>
      <c r="H397">
        <v>5</v>
      </c>
      <c r="I397">
        <f t="shared" si="80"/>
        <v>2.8342105263157893</v>
      </c>
      <c r="J397" s="304" t="s">
        <v>31</v>
      </c>
      <c r="K397" s="304" t="s">
        <v>31</v>
      </c>
      <c r="L397">
        <f t="shared" si="81"/>
        <v>2.5507894736842105</v>
      </c>
      <c r="M397">
        <f t="shared" si="82"/>
        <v>3.1176315789473685</v>
      </c>
      <c r="O397">
        <f t="shared" si="79"/>
        <v>0.5</v>
      </c>
      <c r="P397">
        <v>0.95</v>
      </c>
      <c r="Q397">
        <v>5.3849999999999998</v>
      </c>
      <c r="R397" s="331">
        <f t="shared" si="78"/>
        <v>2.8342105263157893</v>
      </c>
      <c r="T397" t="s">
        <v>621</v>
      </c>
      <c r="AC397">
        <f t="shared" si="67"/>
        <v>0.56684210526315804</v>
      </c>
    </row>
    <row r="398" spans="1:29" s="41" customFormat="1">
      <c r="A398" s="300" t="s">
        <v>5</v>
      </c>
      <c r="B398" s="108" t="str">
        <f>A408</f>
        <v>production of cooling liquid pump</v>
      </c>
      <c r="C398" s="39"/>
      <c r="AC398">
        <f t="shared" si="67"/>
        <v>0</v>
      </c>
    </row>
    <row r="399" spans="1:29">
      <c r="A399" s="101" t="s">
        <v>7</v>
      </c>
      <c r="B399" t="s">
        <v>439</v>
      </c>
      <c r="C399" s="102"/>
      <c r="AC399">
        <f t="shared" si="67"/>
        <v>0</v>
      </c>
    </row>
    <row r="400" spans="1:29">
      <c r="A400" s="101" t="s">
        <v>9</v>
      </c>
      <c r="B400" s="301" t="s">
        <v>657</v>
      </c>
      <c r="C400" s="102"/>
      <c r="AC400">
        <f t="shared" si="67"/>
        <v>0</v>
      </c>
    </row>
    <row r="401" spans="1:29" ht="50.25" customHeight="1">
      <c r="A401" s="101" t="s">
        <v>11</v>
      </c>
      <c r="B401" s="311" t="s">
        <v>658</v>
      </c>
      <c r="AC401">
        <f t="shared" si="67"/>
        <v>0</v>
      </c>
    </row>
    <row r="402" spans="1:29">
      <c r="A402" s="101" t="s">
        <v>13</v>
      </c>
      <c r="B402" t="s">
        <v>58</v>
      </c>
      <c r="AC402">
        <f t="shared" si="67"/>
        <v>0</v>
      </c>
    </row>
    <row r="403" spans="1:29">
      <c r="A403" s="101" t="s">
        <v>15</v>
      </c>
      <c r="B403">
        <f>B408</f>
        <v>1</v>
      </c>
      <c r="AC403">
        <f t="shared" si="67"/>
        <v>0</v>
      </c>
    </row>
    <row r="404" spans="1:29">
      <c r="A404" s="101" t="s">
        <v>16</v>
      </c>
      <c r="B404" t="s">
        <v>17</v>
      </c>
      <c r="AC404">
        <f t="shared" si="67"/>
        <v>0</v>
      </c>
    </row>
    <row r="405" spans="1:29">
      <c r="A405" s="101" t="s">
        <v>18</v>
      </c>
      <c r="B405" t="str">
        <f>C408</f>
        <v>unit</v>
      </c>
      <c r="AC405">
        <f t="shared" si="67"/>
        <v>0</v>
      </c>
    </row>
    <row r="406" spans="1:29">
      <c r="A406" s="302" t="s">
        <v>19</v>
      </c>
      <c r="AC406">
        <f t="shared" si="67"/>
        <v>0</v>
      </c>
    </row>
    <row r="407" spans="1:29">
      <c r="A407" s="302" t="s">
        <v>20</v>
      </c>
      <c r="B407" s="159" t="s">
        <v>21</v>
      </c>
      <c r="C407" s="159" t="s">
        <v>18</v>
      </c>
      <c r="D407" s="159" t="s">
        <v>22</v>
      </c>
      <c r="E407" s="159" t="s">
        <v>7</v>
      </c>
      <c r="F407" s="159" t="s">
        <v>13</v>
      </c>
      <c r="G407" s="159" t="s">
        <v>16</v>
      </c>
      <c r="H407" s="159" t="s">
        <v>23</v>
      </c>
      <c r="I407" s="328" t="s">
        <v>24</v>
      </c>
      <c r="J407" s="328" t="s">
        <v>25</v>
      </c>
      <c r="K407" s="328" t="s">
        <v>26</v>
      </c>
      <c r="L407" s="328" t="s">
        <v>27</v>
      </c>
      <c r="M407" s="328" t="s">
        <v>28</v>
      </c>
      <c r="AC407" t="e">
        <f t="shared" si="67"/>
        <v>#VALUE!</v>
      </c>
    </row>
    <row r="408" spans="1:29" s="304" customFormat="1">
      <c r="A408" s="303" t="str">
        <f>A28</f>
        <v>production of cooling liquid pump</v>
      </c>
      <c r="B408" s="304">
        <v>1</v>
      </c>
      <c r="C408" t="s">
        <v>18</v>
      </c>
      <c r="D408" s="304" t="s">
        <v>2</v>
      </c>
      <c r="E408" s="304" t="s">
        <v>439</v>
      </c>
      <c r="F408" s="304" t="s">
        <v>58</v>
      </c>
      <c r="G408" s="304" t="s">
        <v>30</v>
      </c>
      <c r="H408" s="304">
        <v>1</v>
      </c>
      <c r="I408" s="304">
        <v>1</v>
      </c>
      <c r="J408" s="304" t="s">
        <v>31</v>
      </c>
      <c r="K408" s="304" t="s">
        <v>31</v>
      </c>
      <c r="L408" s="304" t="s">
        <v>31</v>
      </c>
      <c r="M408" s="304" t="s">
        <v>31</v>
      </c>
      <c r="O408" s="305" t="s">
        <v>447</v>
      </c>
      <c r="P408" s="306" t="s">
        <v>448</v>
      </c>
      <c r="Q408" s="306" t="s">
        <v>21</v>
      </c>
      <c r="R408" s="307" t="s">
        <v>449</v>
      </c>
      <c r="T408" s="306" t="s">
        <v>450</v>
      </c>
      <c r="W408" s="304" t="s">
        <v>520</v>
      </c>
      <c r="AC408" t="e">
        <f t="shared" si="67"/>
        <v>#VALUE!</v>
      </c>
    </row>
    <row r="409" spans="1:29">
      <c r="A409" s="47" t="s">
        <v>598</v>
      </c>
      <c r="B409">
        <f>R409</f>
        <v>1.0204081632653061</v>
      </c>
      <c r="C409" t="s">
        <v>37</v>
      </c>
      <c r="D409" t="s">
        <v>40</v>
      </c>
      <c r="E409" t="s">
        <v>439</v>
      </c>
      <c r="F409" t="s">
        <v>58</v>
      </c>
      <c r="G409" t="s">
        <v>33</v>
      </c>
      <c r="H409">
        <v>0</v>
      </c>
      <c r="I409">
        <f>B409</f>
        <v>1.0204081632653061</v>
      </c>
      <c r="J409" s="304" t="s">
        <v>31</v>
      </c>
      <c r="K409" s="304" t="s">
        <v>31</v>
      </c>
      <c r="L409">
        <v>0</v>
      </c>
      <c r="M409">
        <f t="shared" ref="M409" si="83">2*B409</f>
        <v>2.0408163265306123</v>
      </c>
      <c r="O409">
        <v>0.5</v>
      </c>
      <c r="P409">
        <v>0.98</v>
      </c>
      <c r="Q409">
        <v>2</v>
      </c>
      <c r="R409" s="309">
        <f t="shared" ref="R409:R412" si="84">(Q409/P409)*O409</f>
        <v>1.0204081632653061</v>
      </c>
      <c r="T409" t="s">
        <v>628</v>
      </c>
      <c r="W409" s="330"/>
      <c r="X409" s="326"/>
      <c r="AC409">
        <f t="shared" ref="AC409:AC472" si="85">M409-L409</f>
        <v>2.0408163265306123</v>
      </c>
    </row>
    <row r="410" spans="1:29">
      <c r="A410" s="47" t="s">
        <v>655</v>
      </c>
      <c r="B410">
        <f t="shared" ref="B410:B412" si="86">R410</f>
        <v>0.51020408163265307</v>
      </c>
      <c r="C410" t="s">
        <v>37</v>
      </c>
      <c r="D410" t="s">
        <v>40</v>
      </c>
      <c r="E410" t="s">
        <v>439</v>
      </c>
      <c r="F410" t="s">
        <v>58</v>
      </c>
      <c r="G410" t="s">
        <v>33</v>
      </c>
      <c r="H410">
        <v>5</v>
      </c>
      <c r="I410">
        <f t="shared" ref="I410:I412" si="87">B410</f>
        <v>0.51020408163265307</v>
      </c>
      <c r="J410" t="s">
        <v>31</v>
      </c>
      <c r="K410" t="s">
        <v>31</v>
      </c>
      <c r="L410">
        <v>0</v>
      </c>
      <c r="M410">
        <f>2*B410</f>
        <v>1.0204081632653061</v>
      </c>
      <c r="O410">
        <f t="shared" ref="O410:O412" si="88">10/20</f>
        <v>0.5</v>
      </c>
      <c r="P410">
        <v>0.98</v>
      </c>
      <c r="Q410">
        <v>1</v>
      </c>
      <c r="R410" s="331">
        <f t="shared" si="84"/>
        <v>0.51020408163265307</v>
      </c>
      <c r="T410" t="s">
        <v>628</v>
      </c>
      <c r="AC410">
        <f t="shared" si="85"/>
        <v>1.0204081632653061</v>
      </c>
    </row>
    <row r="411" spans="1:29">
      <c r="A411" s="47" t="s">
        <v>334</v>
      </c>
      <c r="B411">
        <f>R411</f>
        <v>0.25510204081632654</v>
      </c>
      <c r="C411" t="s">
        <v>37</v>
      </c>
      <c r="D411" t="s">
        <v>40</v>
      </c>
      <c r="E411" t="s">
        <v>439</v>
      </c>
      <c r="F411" t="s">
        <v>58</v>
      </c>
      <c r="G411" t="s">
        <v>33</v>
      </c>
      <c r="H411">
        <v>5</v>
      </c>
      <c r="I411">
        <f t="shared" si="87"/>
        <v>0.25510204081632654</v>
      </c>
      <c r="J411" s="304" t="s">
        <v>31</v>
      </c>
      <c r="K411" s="304" t="s">
        <v>31</v>
      </c>
      <c r="L411">
        <v>0</v>
      </c>
      <c r="M411">
        <f t="shared" ref="M411:M412" si="89">2*B411</f>
        <v>0.51020408163265307</v>
      </c>
      <c r="O411">
        <f t="shared" si="88"/>
        <v>0.5</v>
      </c>
      <c r="P411">
        <v>0.98</v>
      </c>
      <c r="Q411" s="332">
        <v>0.5</v>
      </c>
      <c r="R411" s="309">
        <f t="shared" si="84"/>
        <v>0.25510204081632654</v>
      </c>
      <c r="T411" t="s">
        <v>628</v>
      </c>
      <c r="AC411">
        <f t="shared" si="85"/>
        <v>0.51020408163265307</v>
      </c>
    </row>
    <row r="412" spans="1:29">
      <c r="A412" s="47" t="s">
        <v>608</v>
      </c>
      <c r="B412">
        <f t="shared" si="86"/>
        <v>0.25510204081632654</v>
      </c>
      <c r="C412" t="s">
        <v>37</v>
      </c>
      <c r="D412" t="s">
        <v>40</v>
      </c>
      <c r="E412" t="s">
        <v>439</v>
      </c>
      <c r="F412" t="s">
        <v>128</v>
      </c>
      <c r="G412" t="s">
        <v>33</v>
      </c>
      <c r="H412">
        <v>5</v>
      </c>
      <c r="I412">
        <f t="shared" si="87"/>
        <v>0.25510204081632654</v>
      </c>
      <c r="J412" s="304" t="s">
        <v>31</v>
      </c>
      <c r="K412" s="304" t="s">
        <v>31</v>
      </c>
      <c r="L412">
        <v>0</v>
      </c>
      <c r="M412">
        <f t="shared" si="89"/>
        <v>0.51020408163265307</v>
      </c>
      <c r="O412">
        <f t="shared" si="88"/>
        <v>0.5</v>
      </c>
      <c r="P412">
        <v>0.98</v>
      </c>
      <c r="Q412" s="209">
        <v>0.5</v>
      </c>
      <c r="R412" s="331">
        <f t="shared" si="84"/>
        <v>0.25510204081632654</v>
      </c>
      <c r="T412" t="s">
        <v>628</v>
      </c>
      <c r="AC412">
        <f t="shared" si="85"/>
        <v>0.51020408163265307</v>
      </c>
    </row>
    <row r="413" spans="1:29" s="41" customFormat="1">
      <c r="A413" s="300" t="s">
        <v>5</v>
      </c>
      <c r="B413" s="108" t="str">
        <f>A423</f>
        <v>production of hydrogen recirculation pump</v>
      </c>
      <c r="C413" s="39"/>
      <c r="AC413">
        <f t="shared" si="85"/>
        <v>0</v>
      </c>
    </row>
    <row r="414" spans="1:29">
      <c r="A414" s="101" t="s">
        <v>7</v>
      </c>
      <c r="B414" t="s">
        <v>439</v>
      </c>
      <c r="C414" s="102"/>
      <c r="AC414">
        <f t="shared" si="85"/>
        <v>0</v>
      </c>
    </row>
    <row r="415" spans="1:29">
      <c r="A415" s="101" t="s">
        <v>9</v>
      </c>
      <c r="B415" s="301" t="s">
        <v>659</v>
      </c>
      <c r="C415" s="102"/>
      <c r="AC415">
        <f t="shared" si="85"/>
        <v>0</v>
      </c>
    </row>
    <row r="416" spans="1:29" ht="50.25" customHeight="1">
      <c r="A416" s="101" t="s">
        <v>11</v>
      </c>
      <c r="B416" s="311" t="s">
        <v>660</v>
      </c>
      <c r="AC416">
        <f t="shared" si="85"/>
        <v>0</v>
      </c>
    </row>
    <row r="417" spans="1:29">
      <c r="A417" s="101" t="s">
        <v>13</v>
      </c>
      <c r="B417" t="s">
        <v>58</v>
      </c>
      <c r="AC417">
        <f t="shared" si="85"/>
        <v>0</v>
      </c>
    </row>
    <row r="418" spans="1:29">
      <c r="A418" s="101" t="s">
        <v>15</v>
      </c>
      <c r="B418">
        <f>B423</f>
        <v>1</v>
      </c>
      <c r="AC418">
        <f t="shared" si="85"/>
        <v>0</v>
      </c>
    </row>
    <row r="419" spans="1:29">
      <c r="A419" s="101" t="s">
        <v>16</v>
      </c>
      <c r="B419" t="s">
        <v>17</v>
      </c>
      <c r="AC419">
        <f t="shared" si="85"/>
        <v>0</v>
      </c>
    </row>
    <row r="420" spans="1:29">
      <c r="A420" s="101" t="s">
        <v>18</v>
      </c>
      <c r="B420" t="str">
        <f>C423</f>
        <v>unit</v>
      </c>
      <c r="AC420">
        <f t="shared" si="85"/>
        <v>0</v>
      </c>
    </row>
    <row r="421" spans="1:29">
      <c r="A421" s="302" t="s">
        <v>19</v>
      </c>
      <c r="AC421">
        <f t="shared" si="85"/>
        <v>0</v>
      </c>
    </row>
    <row r="422" spans="1:29" ht="18.75" customHeight="1">
      <c r="A422" s="302" t="s">
        <v>20</v>
      </c>
      <c r="B422" s="159" t="s">
        <v>21</v>
      </c>
      <c r="C422" s="159" t="s">
        <v>18</v>
      </c>
      <c r="D422" s="159" t="s">
        <v>22</v>
      </c>
      <c r="E422" s="159" t="s">
        <v>7</v>
      </c>
      <c r="F422" s="159" t="s">
        <v>13</v>
      </c>
      <c r="G422" s="159" t="s">
        <v>16</v>
      </c>
      <c r="H422" s="159" t="s">
        <v>23</v>
      </c>
      <c r="I422" s="328" t="s">
        <v>24</v>
      </c>
      <c r="J422" s="328" t="s">
        <v>25</v>
      </c>
      <c r="K422" s="328" t="s">
        <v>26</v>
      </c>
      <c r="L422" s="328" t="s">
        <v>27</v>
      </c>
      <c r="M422" s="328" t="s">
        <v>28</v>
      </c>
      <c r="AC422" t="e">
        <f t="shared" si="85"/>
        <v>#VALUE!</v>
      </c>
    </row>
    <row r="423" spans="1:29" s="304" customFormat="1">
      <c r="A423" s="303" t="str">
        <f>A29</f>
        <v>production of hydrogen recirculation pump</v>
      </c>
      <c r="B423" s="304">
        <v>1</v>
      </c>
      <c r="C423" t="s">
        <v>18</v>
      </c>
      <c r="D423" s="304" t="s">
        <v>2</v>
      </c>
      <c r="E423" s="304" t="s">
        <v>439</v>
      </c>
      <c r="F423" s="304" t="s">
        <v>58</v>
      </c>
      <c r="G423" s="304" t="s">
        <v>30</v>
      </c>
      <c r="H423" s="304">
        <v>1</v>
      </c>
      <c r="I423" s="304">
        <v>1</v>
      </c>
      <c r="J423" s="304" t="s">
        <v>31</v>
      </c>
      <c r="K423" s="304" t="s">
        <v>31</v>
      </c>
      <c r="L423" s="304" t="s">
        <v>31</v>
      </c>
      <c r="M423" s="304" t="s">
        <v>31</v>
      </c>
      <c r="O423" s="305" t="s">
        <v>447</v>
      </c>
      <c r="P423" s="306" t="s">
        <v>448</v>
      </c>
      <c r="Q423" s="306" t="s">
        <v>21</v>
      </c>
      <c r="R423" s="307" t="s">
        <v>449</v>
      </c>
      <c r="T423" s="306" t="s">
        <v>450</v>
      </c>
      <c r="W423" s="304" t="s">
        <v>520</v>
      </c>
      <c r="AC423" t="e">
        <f t="shared" si="85"/>
        <v>#VALUE!</v>
      </c>
    </row>
    <row r="424" spans="1:29">
      <c r="A424" s="327" t="s">
        <v>654</v>
      </c>
      <c r="B424">
        <f t="shared" ref="B424:B425" si="90">R424</f>
        <v>4.591836734693878</v>
      </c>
      <c r="C424" t="s">
        <v>37</v>
      </c>
      <c r="D424" t="s">
        <v>40</v>
      </c>
      <c r="E424" t="s">
        <v>439</v>
      </c>
      <c r="F424" t="s">
        <v>58</v>
      </c>
      <c r="G424" t="s">
        <v>33</v>
      </c>
      <c r="H424">
        <v>5</v>
      </c>
      <c r="I424">
        <f>B424</f>
        <v>4.591836734693878</v>
      </c>
      <c r="J424" s="304" t="s">
        <v>31</v>
      </c>
      <c r="K424" s="304" t="s">
        <v>31</v>
      </c>
      <c r="L424">
        <f>0.5*B424</f>
        <v>2.295918367346939</v>
      </c>
      <c r="M424">
        <f>1.5*B424</f>
        <v>6.887755102040817</v>
      </c>
      <c r="O424">
        <f>10/20</f>
        <v>0.5</v>
      </c>
      <c r="P424">
        <v>0.98</v>
      </c>
      <c r="Q424" s="332">
        <v>9</v>
      </c>
      <c r="R424" s="309">
        <f t="shared" ref="R424:R425" si="91">(Q424/P424)*O424</f>
        <v>4.591836734693878</v>
      </c>
      <c r="T424" t="s">
        <v>650</v>
      </c>
      <c r="AC424">
        <f t="shared" si="85"/>
        <v>4.591836734693878</v>
      </c>
    </row>
    <row r="425" spans="1:29">
      <c r="A425" s="47" t="s">
        <v>655</v>
      </c>
      <c r="B425">
        <f t="shared" si="90"/>
        <v>0.51020408163265307</v>
      </c>
      <c r="C425" t="s">
        <v>37</v>
      </c>
      <c r="D425" t="s">
        <v>40</v>
      </c>
      <c r="E425" t="s">
        <v>439</v>
      </c>
      <c r="F425" t="s">
        <v>58</v>
      </c>
      <c r="G425" t="s">
        <v>33</v>
      </c>
      <c r="H425">
        <v>5</v>
      </c>
      <c r="I425">
        <f t="shared" ref="I425" si="92">B425</f>
        <v>0.51020408163265307</v>
      </c>
      <c r="J425" t="s">
        <v>31</v>
      </c>
      <c r="K425" t="s">
        <v>31</v>
      </c>
      <c r="L425">
        <f>0.5*B425</f>
        <v>0.25510204081632654</v>
      </c>
      <c r="M425">
        <f>1.5*B425</f>
        <v>0.76530612244897966</v>
      </c>
      <c r="O425">
        <f t="shared" ref="O425" si="93">10/20</f>
        <v>0.5</v>
      </c>
      <c r="P425">
        <v>0.98</v>
      </c>
      <c r="Q425" s="332">
        <v>1</v>
      </c>
      <c r="R425" s="331">
        <f t="shared" si="91"/>
        <v>0.51020408163265307</v>
      </c>
      <c r="T425" s="333" t="s">
        <v>650</v>
      </c>
      <c r="AC425">
        <f t="shared" si="85"/>
        <v>0.51020408163265318</v>
      </c>
    </row>
    <row r="426" spans="1:29" s="41" customFormat="1">
      <c r="A426" s="300" t="s">
        <v>5</v>
      </c>
      <c r="B426" s="108" t="str">
        <f>A436</f>
        <v xml:space="preserve">production of heat exchanger </v>
      </c>
      <c r="C426" s="39"/>
      <c r="AC426">
        <f t="shared" si="85"/>
        <v>0</v>
      </c>
    </row>
    <row r="427" spans="1:29">
      <c r="A427" s="101" t="s">
        <v>7</v>
      </c>
      <c r="B427" t="s">
        <v>439</v>
      </c>
      <c r="C427" s="102"/>
      <c r="AC427">
        <f t="shared" si="85"/>
        <v>0</v>
      </c>
    </row>
    <row r="428" spans="1:29">
      <c r="A428" s="101" t="s">
        <v>9</v>
      </c>
      <c r="B428" s="301" t="s">
        <v>661</v>
      </c>
      <c r="C428" s="102"/>
      <c r="AC428">
        <f t="shared" si="85"/>
        <v>0</v>
      </c>
    </row>
    <row r="429" spans="1:29" ht="50.25" customHeight="1">
      <c r="A429" s="101" t="s">
        <v>11</v>
      </c>
      <c r="B429" s="311" t="s">
        <v>662</v>
      </c>
      <c r="AC429">
        <f t="shared" si="85"/>
        <v>0</v>
      </c>
    </row>
    <row r="430" spans="1:29">
      <c r="A430" s="101" t="s">
        <v>13</v>
      </c>
      <c r="B430" t="s">
        <v>58</v>
      </c>
      <c r="AC430">
        <f t="shared" si="85"/>
        <v>0</v>
      </c>
    </row>
    <row r="431" spans="1:29">
      <c r="A431" s="101" t="s">
        <v>15</v>
      </c>
      <c r="B431">
        <v>1</v>
      </c>
      <c r="AC431">
        <f t="shared" si="85"/>
        <v>0</v>
      </c>
    </row>
    <row r="432" spans="1:29">
      <c r="A432" s="101" t="s">
        <v>16</v>
      </c>
      <c r="B432" t="s">
        <v>17</v>
      </c>
      <c r="AC432">
        <f t="shared" si="85"/>
        <v>0</v>
      </c>
    </row>
    <row r="433" spans="1:29">
      <c r="A433" s="101" t="s">
        <v>18</v>
      </c>
      <c r="B433" t="s">
        <v>18</v>
      </c>
      <c r="AC433">
        <f t="shared" si="85"/>
        <v>0</v>
      </c>
    </row>
    <row r="434" spans="1:29">
      <c r="A434" s="302" t="s">
        <v>19</v>
      </c>
      <c r="AC434">
        <f t="shared" si="85"/>
        <v>0</v>
      </c>
    </row>
    <row r="435" spans="1:29" ht="18.75" customHeight="1">
      <c r="A435" s="302" t="s">
        <v>20</v>
      </c>
      <c r="B435" s="159" t="s">
        <v>21</v>
      </c>
      <c r="C435" s="159" t="s">
        <v>18</v>
      </c>
      <c r="D435" s="159" t="s">
        <v>22</v>
      </c>
      <c r="E435" s="159" t="s">
        <v>7</v>
      </c>
      <c r="F435" s="159" t="s">
        <v>13</v>
      </c>
      <c r="G435" s="159" t="s">
        <v>16</v>
      </c>
      <c r="H435" s="159" t="s">
        <v>23</v>
      </c>
      <c r="I435" s="328" t="s">
        <v>24</v>
      </c>
      <c r="J435" s="328" t="s">
        <v>25</v>
      </c>
      <c r="K435" s="328" t="s">
        <v>26</v>
      </c>
      <c r="L435" s="328" t="s">
        <v>27</v>
      </c>
      <c r="M435" s="328" t="s">
        <v>28</v>
      </c>
      <c r="AC435" t="e">
        <f t="shared" si="85"/>
        <v>#VALUE!</v>
      </c>
    </row>
    <row r="436" spans="1:29" s="304" customFormat="1">
      <c r="A436" s="303" t="str">
        <f>A30</f>
        <v xml:space="preserve">production of heat exchanger </v>
      </c>
      <c r="B436" s="304">
        <v>1</v>
      </c>
      <c r="C436" t="s">
        <v>18</v>
      </c>
      <c r="D436" s="304" t="s">
        <v>2</v>
      </c>
      <c r="E436" s="304" t="s">
        <v>439</v>
      </c>
      <c r="F436" s="304" t="s">
        <v>58</v>
      </c>
      <c r="G436" s="304" t="s">
        <v>30</v>
      </c>
      <c r="H436" s="304">
        <v>1</v>
      </c>
      <c r="I436" s="304">
        <v>1</v>
      </c>
      <c r="J436" s="304" t="s">
        <v>31</v>
      </c>
      <c r="K436" s="304" t="s">
        <v>31</v>
      </c>
      <c r="L436" s="304" t="s">
        <v>31</v>
      </c>
      <c r="M436" s="304" t="s">
        <v>31</v>
      </c>
      <c r="O436" s="305" t="s">
        <v>447</v>
      </c>
      <c r="P436" s="306" t="s">
        <v>448</v>
      </c>
      <c r="Q436" s="306" t="s">
        <v>21</v>
      </c>
      <c r="R436" s="307" t="s">
        <v>449</v>
      </c>
      <c r="T436" s="306" t="s">
        <v>450</v>
      </c>
      <c r="W436" s="304" t="s">
        <v>520</v>
      </c>
      <c r="AC436" t="e">
        <f t="shared" si="85"/>
        <v>#VALUE!</v>
      </c>
    </row>
    <row r="437" spans="1:29">
      <c r="A437" s="327" t="s">
        <v>654</v>
      </c>
      <c r="B437">
        <f t="shared" ref="B437:B438" si="94">R437</f>
        <v>14.285714285714286</v>
      </c>
      <c r="C437" t="s">
        <v>37</v>
      </c>
      <c r="D437" t="s">
        <v>40</v>
      </c>
      <c r="E437" t="s">
        <v>439</v>
      </c>
      <c r="F437" t="s">
        <v>58</v>
      </c>
      <c r="G437" t="s">
        <v>33</v>
      </c>
      <c r="H437">
        <v>5</v>
      </c>
      <c r="I437">
        <f>B437</f>
        <v>14.285714285714286</v>
      </c>
      <c r="J437" s="304" t="s">
        <v>31</v>
      </c>
      <c r="K437" s="304" t="s">
        <v>31</v>
      </c>
      <c r="L437">
        <f>0.5*B437</f>
        <v>7.1428571428571432</v>
      </c>
      <c r="M437">
        <f>1.5*B437</f>
        <v>21.428571428571431</v>
      </c>
      <c r="O437">
        <v>1</v>
      </c>
      <c r="P437">
        <v>0.98</v>
      </c>
      <c r="Q437" s="332">
        <v>14</v>
      </c>
      <c r="R437" s="309">
        <f t="shared" ref="R437:R438" si="95">(Q437/P437)*O437</f>
        <v>14.285714285714286</v>
      </c>
      <c r="T437" t="s">
        <v>650</v>
      </c>
      <c r="AC437">
        <f t="shared" si="85"/>
        <v>14.285714285714288</v>
      </c>
    </row>
    <row r="438" spans="1:29">
      <c r="A438" s="47" t="s">
        <v>656</v>
      </c>
      <c r="B438">
        <f t="shared" si="94"/>
        <v>14</v>
      </c>
      <c r="C438" t="s">
        <v>37</v>
      </c>
      <c r="D438" t="s">
        <v>40</v>
      </c>
      <c r="E438" t="s">
        <v>439</v>
      </c>
      <c r="F438" t="s">
        <v>58</v>
      </c>
      <c r="G438" t="s">
        <v>33</v>
      </c>
      <c r="H438">
        <v>5</v>
      </c>
      <c r="I438">
        <f t="shared" ref="I438" si="96">B438</f>
        <v>14</v>
      </c>
      <c r="J438" s="304" t="s">
        <v>31</v>
      </c>
      <c r="K438" s="304" t="s">
        <v>31</v>
      </c>
      <c r="L438" s="304">
        <v>7.1428571428571432</v>
      </c>
      <c r="M438" s="304">
        <v>21.428571428571431</v>
      </c>
      <c r="O438">
        <v>1</v>
      </c>
      <c r="P438">
        <v>1</v>
      </c>
      <c r="Q438">
        <v>14</v>
      </c>
      <c r="R438" s="331">
        <f t="shared" si="95"/>
        <v>14</v>
      </c>
      <c r="AC438">
        <f t="shared" si="85"/>
        <v>14.285714285714288</v>
      </c>
    </row>
    <row r="439" spans="1:29" s="41" customFormat="1">
      <c r="A439" s="300" t="s">
        <v>5</v>
      </c>
      <c r="B439" s="108" t="str">
        <f>A449</f>
        <v>production of ion exchange filter</v>
      </c>
      <c r="C439" s="39"/>
      <c r="AC439">
        <f t="shared" si="85"/>
        <v>0</v>
      </c>
    </row>
    <row r="440" spans="1:29">
      <c r="A440" s="101" t="s">
        <v>7</v>
      </c>
      <c r="B440" t="s">
        <v>439</v>
      </c>
      <c r="C440" s="102"/>
      <c r="AC440">
        <f t="shared" si="85"/>
        <v>0</v>
      </c>
    </row>
    <row r="441" spans="1:29">
      <c r="A441" s="101" t="s">
        <v>9</v>
      </c>
      <c r="B441" s="301" t="s">
        <v>663</v>
      </c>
      <c r="C441" s="102"/>
      <c r="AC441">
        <f t="shared" si="85"/>
        <v>0</v>
      </c>
    </row>
    <row r="442" spans="1:29" ht="50.25" customHeight="1">
      <c r="A442" s="101" t="s">
        <v>11</v>
      </c>
      <c r="B442" s="311" t="s">
        <v>664</v>
      </c>
      <c r="AC442">
        <f t="shared" si="85"/>
        <v>0</v>
      </c>
    </row>
    <row r="443" spans="1:29">
      <c r="A443" s="101" t="s">
        <v>13</v>
      </c>
      <c r="B443" t="s">
        <v>58</v>
      </c>
      <c r="AC443">
        <f t="shared" si="85"/>
        <v>0</v>
      </c>
    </row>
    <row r="444" spans="1:29">
      <c r="A444" s="101" t="s">
        <v>15</v>
      </c>
      <c r="B444">
        <v>1</v>
      </c>
      <c r="AC444">
        <f t="shared" si="85"/>
        <v>0</v>
      </c>
    </row>
    <row r="445" spans="1:29">
      <c r="A445" s="101" t="s">
        <v>16</v>
      </c>
      <c r="B445" t="s">
        <v>17</v>
      </c>
      <c r="AC445">
        <f t="shared" si="85"/>
        <v>0</v>
      </c>
    </row>
    <row r="446" spans="1:29">
      <c r="A446" s="101" t="s">
        <v>18</v>
      </c>
      <c r="B446" t="str">
        <f>C449</f>
        <v>unit</v>
      </c>
      <c r="AC446">
        <f t="shared" si="85"/>
        <v>0</v>
      </c>
    </row>
    <row r="447" spans="1:29">
      <c r="A447" s="302" t="s">
        <v>19</v>
      </c>
      <c r="AC447">
        <f t="shared" si="85"/>
        <v>0</v>
      </c>
    </row>
    <row r="448" spans="1:29" ht="18.75" customHeight="1">
      <c r="A448" s="302" t="s">
        <v>20</v>
      </c>
      <c r="B448" s="159" t="s">
        <v>21</v>
      </c>
      <c r="C448" s="159" t="s">
        <v>18</v>
      </c>
      <c r="D448" s="159" t="s">
        <v>22</v>
      </c>
      <c r="E448" s="159" t="s">
        <v>7</v>
      </c>
      <c r="F448" s="159" t="s">
        <v>13</v>
      </c>
      <c r="G448" s="159" t="s">
        <v>16</v>
      </c>
      <c r="H448" s="159" t="s">
        <v>23</v>
      </c>
      <c r="I448" s="328" t="s">
        <v>24</v>
      </c>
      <c r="J448" s="328" t="s">
        <v>25</v>
      </c>
      <c r="K448" s="328" t="s">
        <v>26</v>
      </c>
      <c r="L448" s="328" t="s">
        <v>27</v>
      </c>
      <c r="M448" s="328" t="s">
        <v>28</v>
      </c>
      <c r="AC448" t="e">
        <f t="shared" si="85"/>
        <v>#VALUE!</v>
      </c>
    </row>
    <row r="449" spans="1:29" s="304" customFormat="1">
      <c r="A449" s="303" t="str">
        <f>A31</f>
        <v>production of ion exchange filter</v>
      </c>
      <c r="B449" s="304">
        <v>1</v>
      </c>
      <c r="C449" t="s">
        <v>18</v>
      </c>
      <c r="D449" s="304" t="s">
        <v>2</v>
      </c>
      <c r="E449" s="304" t="s">
        <v>439</v>
      </c>
      <c r="F449" s="304" t="s">
        <v>58</v>
      </c>
      <c r="G449" s="304" t="s">
        <v>30</v>
      </c>
      <c r="H449" s="304">
        <v>1</v>
      </c>
      <c r="I449" s="304">
        <v>1</v>
      </c>
      <c r="J449" s="304" t="s">
        <v>31</v>
      </c>
      <c r="K449" s="304" t="s">
        <v>31</v>
      </c>
      <c r="L449" s="304" t="s">
        <v>31</v>
      </c>
      <c r="M449" s="304" t="s">
        <v>31</v>
      </c>
      <c r="O449" s="305" t="s">
        <v>447</v>
      </c>
      <c r="P449" s="306" t="s">
        <v>448</v>
      </c>
      <c r="Q449" s="306" t="s">
        <v>21</v>
      </c>
      <c r="R449" s="307" t="s">
        <v>449</v>
      </c>
      <c r="T449" s="306" t="s">
        <v>450</v>
      </c>
      <c r="W449" s="304" t="s">
        <v>520</v>
      </c>
      <c r="AC449" t="e">
        <f t="shared" si="85"/>
        <v>#VALUE!</v>
      </c>
    </row>
    <row r="450" spans="1:29">
      <c r="A450" s="47" t="s">
        <v>334</v>
      </c>
      <c r="B450">
        <f>R450</f>
        <v>2.1052631578947367</v>
      </c>
      <c r="C450" t="s">
        <v>37</v>
      </c>
      <c r="D450" t="s">
        <v>40</v>
      </c>
      <c r="E450" t="s">
        <v>439</v>
      </c>
      <c r="F450" t="s">
        <v>58</v>
      </c>
      <c r="G450" t="s">
        <v>33</v>
      </c>
      <c r="H450">
        <v>5</v>
      </c>
      <c r="I450">
        <f t="shared" ref="I450:I451" si="97">B450</f>
        <v>2.1052631578947367</v>
      </c>
      <c r="J450" s="304" t="s">
        <v>31</v>
      </c>
      <c r="K450" s="304" t="s">
        <v>31</v>
      </c>
      <c r="L450">
        <f>B450*0.9</f>
        <v>1.8947368421052631</v>
      </c>
      <c r="M450">
        <f>1.1*B450</f>
        <v>2.3157894736842106</v>
      </c>
      <c r="O450">
        <v>4</v>
      </c>
      <c r="P450">
        <v>0.95</v>
      </c>
      <c r="Q450" s="332">
        <v>0.5</v>
      </c>
      <c r="R450" s="309">
        <f t="shared" ref="R450:R451" si="98">(Q450/P450)*O450</f>
        <v>2.1052631578947367</v>
      </c>
      <c r="T450" t="s">
        <v>621</v>
      </c>
      <c r="AC450">
        <f t="shared" si="85"/>
        <v>0.42105263157894757</v>
      </c>
    </row>
    <row r="451" spans="1:29">
      <c r="A451" s="47" t="s">
        <v>665</v>
      </c>
      <c r="B451">
        <f>R451</f>
        <v>1.0526315789473684</v>
      </c>
      <c r="C451" t="s">
        <v>37</v>
      </c>
      <c r="D451" t="s">
        <v>40</v>
      </c>
      <c r="E451" t="s">
        <v>439</v>
      </c>
      <c r="F451" t="s">
        <v>128</v>
      </c>
      <c r="G451" t="s">
        <v>33</v>
      </c>
      <c r="H451">
        <v>5</v>
      </c>
      <c r="I451">
        <f t="shared" si="97"/>
        <v>1.0526315789473684</v>
      </c>
      <c r="J451" s="304" t="s">
        <v>31</v>
      </c>
      <c r="K451" s="304" t="s">
        <v>31</v>
      </c>
      <c r="L451">
        <f>B451*0.9</f>
        <v>0.94736842105263153</v>
      </c>
      <c r="M451">
        <f>1.1*B451</f>
        <v>1.1578947368421053</v>
      </c>
      <c r="O451">
        <v>1</v>
      </c>
      <c r="P451">
        <v>0.95</v>
      </c>
      <c r="Q451" s="332">
        <v>1</v>
      </c>
      <c r="R451" s="309">
        <f t="shared" si="98"/>
        <v>1.0526315789473684</v>
      </c>
      <c r="T451" t="s">
        <v>621</v>
      </c>
      <c r="AC451">
        <f t="shared" si="85"/>
        <v>0.21052631578947378</v>
      </c>
    </row>
    <row r="452" spans="1:29" s="41" customFormat="1">
      <c r="A452" s="300" t="s">
        <v>5</v>
      </c>
      <c r="B452" s="108" t="str">
        <f>A462</f>
        <v>production of load cables</v>
      </c>
      <c r="C452" s="39"/>
      <c r="AC452">
        <f t="shared" si="85"/>
        <v>0</v>
      </c>
    </row>
    <row r="453" spans="1:29">
      <c r="A453" s="101" t="s">
        <v>7</v>
      </c>
      <c r="B453" t="s">
        <v>439</v>
      </c>
      <c r="C453" s="102"/>
      <c r="AC453">
        <f t="shared" si="85"/>
        <v>0</v>
      </c>
    </row>
    <row r="454" spans="1:29">
      <c r="A454" s="101" t="s">
        <v>9</v>
      </c>
      <c r="B454" s="301" t="s">
        <v>666</v>
      </c>
      <c r="C454" s="102"/>
      <c r="AC454">
        <f t="shared" si="85"/>
        <v>0</v>
      </c>
    </row>
    <row r="455" spans="1:29" ht="50.25" customHeight="1">
      <c r="A455" s="101" t="s">
        <v>11</v>
      </c>
      <c r="B455" s="311" t="s">
        <v>667</v>
      </c>
      <c r="AC455">
        <f t="shared" si="85"/>
        <v>0</v>
      </c>
    </row>
    <row r="456" spans="1:29">
      <c r="A456" s="101" t="s">
        <v>13</v>
      </c>
      <c r="B456" t="s">
        <v>58</v>
      </c>
      <c r="AC456">
        <f t="shared" si="85"/>
        <v>0</v>
      </c>
    </row>
    <row r="457" spans="1:29">
      <c r="A457" s="101" t="s">
        <v>15</v>
      </c>
      <c r="B457">
        <f>B462</f>
        <v>1</v>
      </c>
      <c r="AC457">
        <f t="shared" si="85"/>
        <v>0</v>
      </c>
    </row>
    <row r="458" spans="1:29">
      <c r="A458" s="101" t="s">
        <v>16</v>
      </c>
      <c r="B458" t="s">
        <v>17</v>
      </c>
      <c r="AC458">
        <f t="shared" si="85"/>
        <v>0</v>
      </c>
    </row>
    <row r="459" spans="1:29">
      <c r="A459" s="101" t="s">
        <v>18</v>
      </c>
      <c r="B459" t="str">
        <f>C462</f>
        <v>unit</v>
      </c>
      <c r="AC459">
        <f t="shared" si="85"/>
        <v>0</v>
      </c>
    </row>
    <row r="460" spans="1:29">
      <c r="A460" s="302" t="s">
        <v>19</v>
      </c>
      <c r="AC460">
        <f t="shared" si="85"/>
        <v>0</v>
      </c>
    </row>
    <row r="461" spans="1:29" ht="18.75" customHeight="1">
      <c r="A461" s="302" t="s">
        <v>20</v>
      </c>
      <c r="B461" s="159" t="s">
        <v>21</v>
      </c>
      <c r="C461" s="159" t="s">
        <v>18</v>
      </c>
      <c r="D461" s="159" t="s">
        <v>22</v>
      </c>
      <c r="E461" s="159" t="s">
        <v>7</v>
      </c>
      <c r="F461" s="159" t="s">
        <v>13</v>
      </c>
      <c r="G461" s="159" t="s">
        <v>16</v>
      </c>
      <c r="H461" s="159" t="s">
        <v>23</v>
      </c>
      <c r="I461" s="328" t="s">
        <v>24</v>
      </c>
      <c r="J461" s="328" t="s">
        <v>25</v>
      </c>
      <c r="K461" s="328" t="s">
        <v>26</v>
      </c>
      <c r="L461" s="328" t="s">
        <v>27</v>
      </c>
      <c r="M461" s="328" t="s">
        <v>28</v>
      </c>
      <c r="AC461" t="e">
        <f t="shared" si="85"/>
        <v>#VALUE!</v>
      </c>
    </row>
    <row r="462" spans="1:29" s="304" customFormat="1">
      <c r="A462" s="303" t="str">
        <f>A32</f>
        <v>production of load cables</v>
      </c>
      <c r="B462" s="304">
        <v>1</v>
      </c>
      <c r="C462" t="s">
        <v>18</v>
      </c>
      <c r="D462" s="304" t="s">
        <v>2</v>
      </c>
      <c r="E462" s="304" t="s">
        <v>439</v>
      </c>
      <c r="F462" s="304" t="s">
        <v>58</v>
      </c>
      <c r="G462" s="304" t="s">
        <v>30</v>
      </c>
      <c r="H462" s="304">
        <v>1</v>
      </c>
      <c r="I462" s="304">
        <v>1</v>
      </c>
      <c r="J462" s="304" t="s">
        <v>31</v>
      </c>
      <c r="K462" s="304" t="s">
        <v>31</v>
      </c>
      <c r="L462" s="304" t="s">
        <v>31</v>
      </c>
      <c r="M462" s="304" t="s">
        <v>31</v>
      </c>
      <c r="O462" s="305" t="s">
        <v>447</v>
      </c>
      <c r="P462" s="306" t="s">
        <v>448</v>
      </c>
      <c r="Q462" s="306" t="s">
        <v>21</v>
      </c>
      <c r="R462" s="307" t="s">
        <v>449</v>
      </c>
      <c r="T462" s="306" t="s">
        <v>450</v>
      </c>
      <c r="W462" s="304" t="s">
        <v>520</v>
      </c>
      <c r="AC462" t="e">
        <f t="shared" si="85"/>
        <v>#VALUE!</v>
      </c>
    </row>
    <row r="463" spans="1:29">
      <c r="A463" t="s">
        <v>213</v>
      </c>
      <c r="B463">
        <v>1.2</v>
      </c>
      <c r="C463" t="s">
        <v>37</v>
      </c>
      <c r="D463" t="s">
        <v>40</v>
      </c>
      <c r="E463" s="304" t="s">
        <v>439</v>
      </c>
      <c r="F463" s="304" t="s">
        <v>58</v>
      </c>
      <c r="G463" t="s">
        <v>33</v>
      </c>
      <c r="H463">
        <v>0</v>
      </c>
      <c r="I463">
        <f>B463</f>
        <v>1.2</v>
      </c>
      <c r="J463" s="304" t="s">
        <v>31</v>
      </c>
      <c r="K463" s="304" t="s">
        <v>31</v>
      </c>
      <c r="L463" s="304" t="s">
        <v>31</v>
      </c>
      <c r="M463" s="304" t="s">
        <v>31</v>
      </c>
      <c r="AC463" t="e">
        <f t="shared" si="85"/>
        <v>#VALUE!</v>
      </c>
    </row>
    <row r="464" spans="1:29" s="41" customFormat="1">
      <c r="A464" s="300" t="s">
        <v>5</v>
      </c>
      <c r="B464" s="108" t="str">
        <f>A474</f>
        <v>production of supporting construction frame</v>
      </c>
      <c r="C464" s="39"/>
      <c r="AC464">
        <f t="shared" si="85"/>
        <v>0</v>
      </c>
    </row>
    <row r="465" spans="1:29">
      <c r="A465" s="101" t="s">
        <v>7</v>
      </c>
      <c r="B465" t="s">
        <v>439</v>
      </c>
      <c r="C465" s="102"/>
      <c r="AC465">
        <f t="shared" si="85"/>
        <v>0</v>
      </c>
    </row>
    <row r="466" spans="1:29">
      <c r="A466" s="101" t="s">
        <v>9</v>
      </c>
      <c r="B466" s="301" t="s">
        <v>668</v>
      </c>
      <c r="C466" s="102"/>
      <c r="AC466">
        <f t="shared" si="85"/>
        <v>0</v>
      </c>
    </row>
    <row r="467" spans="1:29" ht="50.25" customHeight="1">
      <c r="A467" s="101" t="s">
        <v>11</v>
      </c>
      <c r="B467" s="311" t="s">
        <v>669</v>
      </c>
      <c r="AC467">
        <f t="shared" si="85"/>
        <v>0</v>
      </c>
    </row>
    <row r="468" spans="1:29">
      <c r="A468" s="101" t="s">
        <v>13</v>
      </c>
      <c r="B468" t="s">
        <v>58</v>
      </c>
      <c r="AC468">
        <f t="shared" si="85"/>
        <v>0</v>
      </c>
    </row>
    <row r="469" spans="1:29">
      <c r="A469" s="101" t="s">
        <v>15</v>
      </c>
      <c r="B469">
        <f>B474</f>
        <v>1</v>
      </c>
      <c r="AC469">
        <f t="shared" si="85"/>
        <v>0</v>
      </c>
    </row>
    <row r="470" spans="1:29">
      <c r="A470" s="101" t="s">
        <v>16</v>
      </c>
      <c r="B470" t="s">
        <v>17</v>
      </c>
      <c r="AC470">
        <f t="shared" si="85"/>
        <v>0</v>
      </c>
    </row>
    <row r="471" spans="1:29">
      <c r="A471" s="101" t="s">
        <v>18</v>
      </c>
      <c r="B471" t="str">
        <f>C474</f>
        <v>unit</v>
      </c>
      <c r="AC471">
        <f t="shared" si="85"/>
        <v>0</v>
      </c>
    </row>
    <row r="472" spans="1:29">
      <c r="A472" s="302" t="s">
        <v>19</v>
      </c>
      <c r="AC472">
        <f t="shared" si="85"/>
        <v>0</v>
      </c>
    </row>
    <row r="473" spans="1:29" ht="18.75" customHeight="1">
      <c r="A473" s="302" t="s">
        <v>20</v>
      </c>
      <c r="B473" s="159" t="s">
        <v>21</v>
      </c>
      <c r="C473" s="159" t="s">
        <v>18</v>
      </c>
      <c r="D473" s="159" t="s">
        <v>22</v>
      </c>
      <c r="E473" s="159" t="s">
        <v>7</v>
      </c>
      <c r="F473" s="159" t="s">
        <v>13</v>
      </c>
      <c r="G473" s="159" t="s">
        <v>16</v>
      </c>
      <c r="H473" s="159" t="s">
        <v>23</v>
      </c>
      <c r="I473" s="328" t="s">
        <v>24</v>
      </c>
      <c r="J473" s="328" t="s">
        <v>25</v>
      </c>
      <c r="K473" s="328" t="s">
        <v>26</v>
      </c>
      <c r="L473" s="328" t="s">
        <v>27</v>
      </c>
      <c r="M473" s="328" t="s">
        <v>28</v>
      </c>
      <c r="AC473" t="e">
        <f t="shared" ref="AC473:AC536" si="99">M473-L473</f>
        <v>#VALUE!</v>
      </c>
    </row>
    <row r="474" spans="1:29" s="304" customFormat="1">
      <c r="A474" s="303" t="str">
        <f>A33</f>
        <v>production of supporting construction frame</v>
      </c>
      <c r="B474" s="304">
        <v>1</v>
      </c>
      <c r="C474" t="s">
        <v>18</v>
      </c>
      <c r="D474" s="304" t="s">
        <v>2</v>
      </c>
      <c r="E474" s="304" t="s">
        <v>439</v>
      </c>
      <c r="F474" s="304" t="s">
        <v>58</v>
      </c>
      <c r="G474" s="304" t="s">
        <v>30</v>
      </c>
      <c r="H474" s="304">
        <v>1</v>
      </c>
      <c r="I474" s="304">
        <v>1</v>
      </c>
      <c r="J474" s="304" t="s">
        <v>31</v>
      </c>
      <c r="K474" s="304" t="s">
        <v>31</v>
      </c>
      <c r="L474" s="304" t="s">
        <v>31</v>
      </c>
      <c r="M474" s="304" t="s">
        <v>31</v>
      </c>
      <c r="O474" s="305" t="s">
        <v>447</v>
      </c>
      <c r="P474" s="306" t="s">
        <v>448</v>
      </c>
      <c r="Q474" s="306" t="s">
        <v>21</v>
      </c>
      <c r="R474" s="307" t="s">
        <v>449</v>
      </c>
      <c r="T474" s="306" t="s">
        <v>450</v>
      </c>
      <c r="W474" s="304" t="s">
        <v>520</v>
      </c>
      <c r="AC474" t="e">
        <f t="shared" si="99"/>
        <v>#VALUE!</v>
      </c>
    </row>
    <row r="475" spans="1:29">
      <c r="A475" s="327" t="s">
        <v>654</v>
      </c>
      <c r="B475">
        <f t="shared" ref="B475:B476" si="100">R475</f>
        <v>14.285714285714286</v>
      </c>
      <c r="C475" t="s">
        <v>37</v>
      </c>
      <c r="D475" t="s">
        <v>40</v>
      </c>
      <c r="E475" t="s">
        <v>439</v>
      </c>
      <c r="F475" t="s">
        <v>58</v>
      </c>
      <c r="G475" t="s">
        <v>33</v>
      </c>
      <c r="H475">
        <v>5</v>
      </c>
      <c r="I475">
        <f>B475</f>
        <v>14.285714285714286</v>
      </c>
      <c r="J475" s="304" t="s">
        <v>31</v>
      </c>
      <c r="K475" s="304" t="s">
        <v>31</v>
      </c>
      <c r="L475">
        <f>0.7*B475</f>
        <v>10</v>
      </c>
      <c r="M475">
        <f>1.3*B475</f>
        <v>18.571428571428573</v>
      </c>
      <c r="O475">
        <v>1</v>
      </c>
      <c r="P475">
        <v>0.98</v>
      </c>
      <c r="Q475" s="332">
        <v>14</v>
      </c>
      <c r="R475" s="309">
        <f t="shared" ref="R475:R476" si="101">(Q475/P475)*O475</f>
        <v>14.285714285714286</v>
      </c>
      <c r="T475" t="s">
        <v>670</v>
      </c>
      <c r="AC475">
        <f t="shared" si="99"/>
        <v>8.571428571428573</v>
      </c>
    </row>
    <row r="476" spans="1:29">
      <c r="A476" s="47" t="s">
        <v>656</v>
      </c>
      <c r="B476">
        <f t="shared" si="100"/>
        <v>14</v>
      </c>
      <c r="C476" t="s">
        <v>37</v>
      </c>
      <c r="D476" t="s">
        <v>40</v>
      </c>
      <c r="E476" t="s">
        <v>439</v>
      </c>
      <c r="F476" t="s">
        <v>58</v>
      </c>
      <c r="G476" t="s">
        <v>33</v>
      </c>
      <c r="H476">
        <v>5</v>
      </c>
      <c r="I476">
        <f t="shared" ref="I476" si="102">B476</f>
        <v>14</v>
      </c>
      <c r="J476" s="304" t="s">
        <v>31</v>
      </c>
      <c r="K476" s="304" t="s">
        <v>31</v>
      </c>
      <c r="L476">
        <v>10</v>
      </c>
      <c r="M476">
        <v>18.571428571428573</v>
      </c>
      <c r="O476">
        <v>1</v>
      </c>
      <c r="P476">
        <v>1</v>
      </c>
      <c r="Q476">
        <v>14</v>
      </c>
      <c r="R476" s="331">
        <f t="shared" si="101"/>
        <v>14</v>
      </c>
      <c r="AC476">
        <f t="shared" si="99"/>
        <v>8.571428571428573</v>
      </c>
    </row>
    <row r="477" spans="1:29" s="41" customFormat="1">
      <c r="A477" s="300" t="s">
        <v>5</v>
      </c>
      <c r="B477" s="108" t="str">
        <f>A487</f>
        <v>production of piping and hose system</v>
      </c>
      <c r="C477" s="39"/>
      <c r="AC477">
        <f t="shared" si="99"/>
        <v>0</v>
      </c>
    </row>
    <row r="478" spans="1:29">
      <c r="A478" s="101" t="s">
        <v>7</v>
      </c>
      <c r="B478" t="s">
        <v>439</v>
      </c>
      <c r="C478" s="102"/>
      <c r="AC478">
        <f t="shared" si="99"/>
        <v>0</v>
      </c>
    </row>
    <row r="479" spans="1:29">
      <c r="A479" s="101" t="s">
        <v>9</v>
      </c>
      <c r="B479" s="301" t="s">
        <v>671</v>
      </c>
      <c r="C479" s="102"/>
      <c r="AC479">
        <f t="shared" si="99"/>
        <v>0</v>
      </c>
    </row>
    <row r="480" spans="1:29" ht="50.25" customHeight="1">
      <c r="A480" s="101" t="s">
        <v>11</v>
      </c>
      <c r="B480" s="311" t="s">
        <v>669</v>
      </c>
      <c r="AC480">
        <f t="shared" si="99"/>
        <v>0</v>
      </c>
    </row>
    <row r="481" spans="1:29">
      <c r="A481" s="101" t="s">
        <v>13</v>
      </c>
      <c r="B481" t="s">
        <v>58</v>
      </c>
      <c r="AC481">
        <f t="shared" si="99"/>
        <v>0</v>
      </c>
    </row>
    <row r="482" spans="1:29">
      <c r="A482" s="101" t="s">
        <v>15</v>
      </c>
      <c r="B482">
        <f>B487</f>
        <v>1</v>
      </c>
      <c r="AC482">
        <f t="shared" si="99"/>
        <v>0</v>
      </c>
    </row>
    <row r="483" spans="1:29">
      <c r="A483" s="101" t="s">
        <v>16</v>
      </c>
      <c r="B483" t="s">
        <v>17</v>
      </c>
      <c r="AC483">
        <f t="shared" si="99"/>
        <v>0</v>
      </c>
    </row>
    <row r="484" spans="1:29">
      <c r="A484" s="101" t="s">
        <v>18</v>
      </c>
      <c r="B484" t="str">
        <f>C487</f>
        <v>unit</v>
      </c>
      <c r="AC484">
        <f t="shared" si="99"/>
        <v>0</v>
      </c>
    </row>
    <row r="485" spans="1:29">
      <c r="A485" s="302" t="s">
        <v>19</v>
      </c>
      <c r="AC485">
        <f t="shared" si="99"/>
        <v>0</v>
      </c>
    </row>
    <row r="486" spans="1:29" ht="18.75" customHeight="1">
      <c r="A486" s="302" t="s">
        <v>20</v>
      </c>
      <c r="B486" s="159" t="s">
        <v>21</v>
      </c>
      <c r="C486" s="159" t="s">
        <v>18</v>
      </c>
      <c r="D486" s="159" t="s">
        <v>22</v>
      </c>
      <c r="E486" s="159" t="s">
        <v>7</v>
      </c>
      <c r="F486" s="159" t="s">
        <v>13</v>
      </c>
      <c r="G486" s="159" t="s">
        <v>16</v>
      </c>
      <c r="H486" s="159" t="s">
        <v>23</v>
      </c>
      <c r="I486" s="328" t="s">
        <v>24</v>
      </c>
      <c r="J486" s="328" t="s">
        <v>25</v>
      </c>
      <c r="K486" s="328" t="s">
        <v>26</v>
      </c>
      <c r="L486" s="328" t="s">
        <v>27</v>
      </c>
      <c r="M486" s="328" t="s">
        <v>28</v>
      </c>
      <c r="AC486" t="e">
        <f t="shared" si="99"/>
        <v>#VALUE!</v>
      </c>
    </row>
    <row r="487" spans="1:29" s="304" customFormat="1">
      <c r="A487" s="303" t="str">
        <f>A34</f>
        <v>production of piping and hose system</v>
      </c>
      <c r="B487" s="304">
        <v>1</v>
      </c>
      <c r="C487" t="s">
        <v>18</v>
      </c>
      <c r="D487" s="304" t="s">
        <v>2</v>
      </c>
      <c r="E487" s="304" t="s">
        <v>439</v>
      </c>
      <c r="F487" s="304" t="s">
        <v>58</v>
      </c>
      <c r="G487" s="304" t="s">
        <v>30</v>
      </c>
      <c r="H487" s="304">
        <v>1</v>
      </c>
      <c r="I487" s="304">
        <v>1</v>
      </c>
      <c r="J487" s="304" t="s">
        <v>31</v>
      </c>
      <c r="K487" s="304" t="s">
        <v>31</v>
      </c>
      <c r="L487" s="304" t="s">
        <v>31</v>
      </c>
      <c r="M487" s="304" t="s">
        <v>31</v>
      </c>
      <c r="O487" s="305" t="s">
        <v>447</v>
      </c>
      <c r="P487" s="306" t="s">
        <v>448</v>
      </c>
      <c r="Q487" s="306" t="s">
        <v>21</v>
      </c>
      <c r="R487" s="307" t="s">
        <v>449</v>
      </c>
      <c r="T487" s="306" t="s">
        <v>450</v>
      </c>
      <c r="W487" s="304" t="s">
        <v>520</v>
      </c>
      <c r="AC487" t="e">
        <f t="shared" si="99"/>
        <v>#VALUE!</v>
      </c>
    </row>
    <row r="488" spans="1:29">
      <c r="A488" s="47" t="s">
        <v>598</v>
      </c>
      <c r="B488">
        <f>R488</f>
        <v>16.842105263157894</v>
      </c>
      <c r="C488" t="s">
        <v>37</v>
      </c>
      <c r="D488" t="s">
        <v>40</v>
      </c>
      <c r="E488" t="s">
        <v>439</v>
      </c>
      <c r="F488" t="s">
        <v>58</v>
      </c>
      <c r="G488" t="s">
        <v>33</v>
      </c>
      <c r="H488">
        <v>5</v>
      </c>
      <c r="I488">
        <f>B488</f>
        <v>16.842105263157894</v>
      </c>
      <c r="J488" s="304" t="s">
        <v>31</v>
      </c>
      <c r="K488" s="304" t="s">
        <v>31</v>
      </c>
      <c r="L488">
        <f>0.5*B488</f>
        <v>8.4210526315789469</v>
      </c>
      <c r="M488">
        <f>1.5*B488</f>
        <v>25.263157894736842</v>
      </c>
      <c r="O488">
        <v>1</v>
      </c>
      <c r="P488">
        <v>0.95</v>
      </c>
      <c r="Q488">
        <v>16</v>
      </c>
      <c r="R488" s="309">
        <f t="shared" ref="R488:R489" si="103">(Q488/P488)*O488</f>
        <v>16.842105263157894</v>
      </c>
      <c r="T488" t="s">
        <v>650</v>
      </c>
      <c r="W488" s="330"/>
      <c r="X488" s="326"/>
      <c r="AC488">
        <f t="shared" si="99"/>
        <v>16.842105263157897</v>
      </c>
    </row>
    <row r="489" spans="1:29">
      <c r="A489" s="47" t="s">
        <v>672</v>
      </c>
      <c r="B489">
        <f>R489</f>
        <v>4.2105263157894735</v>
      </c>
      <c r="C489" t="s">
        <v>37</v>
      </c>
      <c r="D489" t="s">
        <v>40</v>
      </c>
      <c r="E489" t="s">
        <v>439</v>
      </c>
      <c r="F489" t="s">
        <v>58</v>
      </c>
      <c r="G489" t="s">
        <v>33</v>
      </c>
      <c r="H489">
        <v>5</v>
      </c>
      <c r="I489">
        <f>B489</f>
        <v>4.2105263157894735</v>
      </c>
      <c r="J489" s="304" t="s">
        <v>31</v>
      </c>
      <c r="K489" s="304" t="s">
        <v>31</v>
      </c>
      <c r="L489">
        <f>0.5*B489</f>
        <v>2.1052631578947367</v>
      </c>
      <c r="M489">
        <f>1.5*B489</f>
        <v>6.3157894736842106</v>
      </c>
      <c r="O489">
        <v>1</v>
      </c>
      <c r="P489">
        <v>0.95</v>
      </c>
      <c r="Q489">
        <v>4</v>
      </c>
      <c r="R489" s="309">
        <f t="shared" si="103"/>
        <v>4.2105263157894735</v>
      </c>
      <c r="T489" t="s">
        <v>650</v>
      </c>
      <c r="AC489">
        <f t="shared" si="99"/>
        <v>4.2105263157894743</v>
      </c>
    </row>
    <row r="490" spans="1:29">
      <c r="AC490">
        <f t="shared" si="99"/>
        <v>0</v>
      </c>
    </row>
    <row r="491" spans="1:29">
      <c r="AC491">
        <f t="shared" si="99"/>
        <v>0</v>
      </c>
    </row>
    <row r="492" spans="1:29">
      <c r="AC492">
        <f t="shared" si="99"/>
        <v>0</v>
      </c>
    </row>
    <row r="493" spans="1:29">
      <c r="AC493">
        <f t="shared" si="99"/>
        <v>0</v>
      </c>
    </row>
    <row r="494" spans="1:29">
      <c r="AC494">
        <f t="shared" si="99"/>
        <v>0</v>
      </c>
    </row>
    <row r="495" spans="1:29">
      <c r="AC495">
        <f t="shared" si="99"/>
        <v>0</v>
      </c>
    </row>
    <row r="496" spans="1:29">
      <c r="AC496">
        <f t="shared" si="99"/>
        <v>0</v>
      </c>
    </row>
    <row r="497" spans="29:29">
      <c r="AC497">
        <f t="shared" si="99"/>
        <v>0</v>
      </c>
    </row>
    <row r="498" spans="29:29">
      <c r="AC498">
        <f t="shared" si="99"/>
        <v>0</v>
      </c>
    </row>
    <row r="499" spans="29:29">
      <c r="AC499">
        <f t="shared" si="99"/>
        <v>0</v>
      </c>
    </row>
    <row r="500" spans="29:29">
      <c r="AC500">
        <f t="shared" si="99"/>
        <v>0</v>
      </c>
    </row>
    <row r="501" spans="29:29">
      <c r="AC501">
        <f t="shared" si="99"/>
        <v>0</v>
      </c>
    </row>
    <row r="502" spans="29:29">
      <c r="AC502">
        <f t="shared" si="99"/>
        <v>0</v>
      </c>
    </row>
    <row r="503" spans="29:29">
      <c r="AC503">
        <f t="shared" si="99"/>
        <v>0</v>
      </c>
    </row>
    <row r="504" spans="29:29">
      <c r="AC504">
        <f t="shared" si="99"/>
        <v>0</v>
      </c>
    </row>
    <row r="505" spans="29:29">
      <c r="AC505">
        <f t="shared" si="99"/>
        <v>0</v>
      </c>
    </row>
    <row r="506" spans="29:29">
      <c r="AC506">
        <f t="shared" si="99"/>
        <v>0</v>
      </c>
    </row>
    <row r="507" spans="29:29">
      <c r="AC507">
        <f t="shared" si="99"/>
        <v>0</v>
      </c>
    </row>
    <row r="508" spans="29:29">
      <c r="AC508">
        <f t="shared" si="99"/>
        <v>0</v>
      </c>
    </row>
    <row r="509" spans="29:29">
      <c r="AC509">
        <f t="shared" si="99"/>
        <v>0</v>
      </c>
    </row>
    <row r="510" spans="29:29">
      <c r="AC510">
        <f t="shared" si="99"/>
        <v>0</v>
      </c>
    </row>
    <row r="511" spans="29:29">
      <c r="AC511">
        <f t="shared" si="99"/>
        <v>0</v>
      </c>
    </row>
    <row r="512" spans="29:29">
      <c r="AC512">
        <f t="shared" si="99"/>
        <v>0</v>
      </c>
    </row>
    <row r="513" spans="29:29">
      <c r="AC513">
        <f t="shared" si="99"/>
        <v>0</v>
      </c>
    </row>
    <row r="514" spans="29:29">
      <c r="AC514">
        <f t="shared" si="99"/>
        <v>0</v>
      </c>
    </row>
    <row r="515" spans="29:29">
      <c r="AC515">
        <f t="shared" si="99"/>
        <v>0</v>
      </c>
    </row>
    <row r="516" spans="29:29">
      <c r="AC516">
        <f t="shared" si="99"/>
        <v>0</v>
      </c>
    </row>
    <row r="517" spans="29:29">
      <c r="AC517">
        <f t="shared" si="99"/>
        <v>0</v>
      </c>
    </row>
    <row r="518" spans="29:29">
      <c r="AC518">
        <f t="shared" si="99"/>
        <v>0</v>
      </c>
    </row>
    <row r="519" spans="29:29">
      <c r="AC519">
        <f t="shared" si="99"/>
        <v>0</v>
      </c>
    </row>
    <row r="520" spans="29:29">
      <c r="AC520">
        <f t="shared" si="99"/>
        <v>0</v>
      </c>
    </row>
    <row r="521" spans="29:29">
      <c r="AC521">
        <f t="shared" si="99"/>
        <v>0</v>
      </c>
    </row>
    <row r="522" spans="29:29">
      <c r="AC522">
        <f t="shared" si="99"/>
        <v>0</v>
      </c>
    </row>
    <row r="523" spans="29:29">
      <c r="AC523">
        <f t="shared" si="99"/>
        <v>0</v>
      </c>
    </row>
    <row r="524" spans="29:29">
      <c r="AC524">
        <f t="shared" si="99"/>
        <v>0</v>
      </c>
    </row>
    <row r="525" spans="29:29">
      <c r="AC525">
        <f t="shared" si="99"/>
        <v>0</v>
      </c>
    </row>
    <row r="526" spans="29:29">
      <c r="AC526">
        <f t="shared" si="99"/>
        <v>0</v>
      </c>
    </row>
    <row r="527" spans="29:29">
      <c r="AC527">
        <f t="shared" si="99"/>
        <v>0</v>
      </c>
    </row>
    <row r="528" spans="29:29">
      <c r="AC528">
        <f t="shared" si="99"/>
        <v>0</v>
      </c>
    </row>
    <row r="529" spans="29:29">
      <c r="AC529">
        <f t="shared" si="99"/>
        <v>0</v>
      </c>
    </row>
    <row r="530" spans="29:29">
      <c r="AC530">
        <f t="shared" si="99"/>
        <v>0</v>
      </c>
    </row>
    <row r="531" spans="29:29">
      <c r="AC531">
        <f t="shared" si="99"/>
        <v>0</v>
      </c>
    </row>
    <row r="532" spans="29:29">
      <c r="AC532">
        <f t="shared" si="99"/>
        <v>0</v>
      </c>
    </row>
    <row r="533" spans="29:29">
      <c r="AC533">
        <f t="shared" si="99"/>
        <v>0</v>
      </c>
    </row>
    <row r="534" spans="29:29">
      <c r="AC534">
        <f t="shared" si="99"/>
        <v>0</v>
      </c>
    </row>
    <row r="535" spans="29:29">
      <c r="AC535">
        <f t="shared" si="99"/>
        <v>0</v>
      </c>
    </row>
    <row r="536" spans="29:29">
      <c r="AC536">
        <f t="shared" si="99"/>
        <v>0</v>
      </c>
    </row>
    <row r="537" spans="29:29">
      <c r="AC537">
        <f t="shared" ref="AC537:AC549" si="104">M537-L537</f>
        <v>0</v>
      </c>
    </row>
    <row r="538" spans="29:29">
      <c r="AC538">
        <f t="shared" si="104"/>
        <v>0</v>
      </c>
    </row>
    <row r="539" spans="29:29">
      <c r="AC539">
        <f t="shared" si="104"/>
        <v>0</v>
      </c>
    </row>
    <row r="540" spans="29:29">
      <c r="AC540">
        <f t="shared" si="104"/>
        <v>0</v>
      </c>
    </row>
    <row r="541" spans="29:29">
      <c r="AC541">
        <f t="shared" si="104"/>
        <v>0</v>
      </c>
    </row>
    <row r="542" spans="29:29">
      <c r="AC542">
        <f t="shared" si="104"/>
        <v>0</v>
      </c>
    </row>
    <row r="543" spans="29:29">
      <c r="AC543">
        <f t="shared" si="104"/>
        <v>0</v>
      </c>
    </row>
    <row r="544" spans="29:29">
      <c r="AC544">
        <f t="shared" si="104"/>
        <v>0</v>
      </c>
    </row>
    <row r="545" spans="29:29">
      <c r="AC545">
        <f t="shared" si="104"/>
        <v>0</v>
      </c>
    </row>
    <row r="546" spans="29:29">
      <c r="AC546">
        <f t="shared" si="104"/>
        <v>0</v>
      </c>
    </row>
    <row r="547" spans="29:29">
      <c r="AC547">
        <f t="shared" si="104"/>
        <v>0</v>
      </c>
    </row>
    <row r="548" spans="29:29">
      <c r="AC548">
        <f t="shared" si="104"/>
        <v>0</v>
      </c>
    </row>
    <row r="549" spans="29:29">
      <c r="AC549">
        <f t="shared" si="104"/>
        <v>0</v>
      </c>
    </row>
  </sheetData>
  <conditionalFormatting sqref="B1:C1048576">
    <cfRule type="containsText" dxfId="1" priority="1" operator="containsText" text="unit">
      <formula>NOT(ISERROR(SEARCH("unit",B1)))</formula>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60CC-A229-4FBC-A83C-9F0DF982F61F}">
  <dimension ref="A1:P62"/>
  <sheetViews>
    <sheetView workbookViewId="0">
      <selection activeCell="H27" sqref="H27"/>
    </sheetView>
  </sheetViews>
  <sheetFormatPr defaultColWidth="8.85546875" defaultRowHeight="1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6" s="26" customFormat="1">
      <c r="A1" s="42" t="s">
        <v>0</v>
      </c>
      <c r="B1" s="42">
        <v>13</v>
      </c>
      <c r="C1" s="28"/>
    </row>
    <row r="2" spans="1:16" ht="15.75">
      <c r="A2" s="29" t="s">
        <v>5</v>
      </c>
      <c r="B2" s="29" t="s">
        <v>673</v>
      </c>
      <c r="C2" s="30"/>
      <c r="D2" s="31"/>
      <c r="E2" s="31"/>
      <c r="F2" s="31"/>
      <c r="G2" s="31"/>
      <c r="H2" s="31"/>
      <c r="I2" s="31"/>
      <c r="J2" s="31"/>
      <c r="K2" s="31"/>
      <c r="L2" s="31"/>
      <c r="M2" s="31"/>
      <c r="N2" s="31"/>
    </row>
    <row r="3" spans="1:16" s="26" customFormat="1" ht="12.75">
      <c r="A3" s="26" t="s">
        <v>7</v>
      </c>
      <c r="B3" s="26" t="s">
        <v>674</v>
      </c>
    </row>
    <row r="4" spans="1:16" s="26" customFormat="1" ht="12.75">
      <c r="A4" s="26" t="s">
        <v>9</v>
      </c>
      <c r="B4" s="26" t="s">
        <v>675</v>
      </c>
    </row>
    <row r="5" spans="1:16" s="26" customFormat="1" ht="12.75">
      <c r="A5" s="26" t="s">
        <v>11</v>
      </c>
      <c r="B5" s="26" t="s">
        <v>676</v>
      </c>
    </row>
    <row r="6" spans="1:16" s="26" customFormat="1" ht="12.75">
      <c r="A6" s="26" t="s">
        <v>13</v>
      </c>
      <c r="B6" s="26" t="s">
        <v>14</v>
      </c>
    </row>
    <row r="7" spans="1:16" s="26" customFormat="1" ht="12.75">
      <c r="A7" s="26" t="s">
        <v>15</v>
      </c>
      <c r="B7" s="32">
        <v>1</v>
      </c>
    </row>
    <row r="8" spans="1:16" s="26" customFormat="1" ht="12.75">
      <c r="A8" s="26" t="s">
        <v>16</v>
      </c>
      <c r="B8" s="26" t="s">
        <v>17</v>
      </c>
    </row>
    <row r="9" spans="1:16" s="26" customFormat="1" ht="12.75">
      <c r="A9" s="26" t="s">
        <v>18</v>
      </c>
      <c r="B9" s="26" t="s">
        <v>18</v>
      </c>
    </row>
    <row r="10" spans="1:16" ht="15.75">
      <c r="A10" s="27" t="s">
        <v>19</v>
      </c>
      <c r="P10" s="26"/>
    </row>
    <row r="11" spans="1:16" ht="15.75">
      <c r="A11" s="27" t="s">
        <v>20</v>
      </c>
      <c r="B11" s="27" t="s">
        <v>21</v>
      </c>
      <c r="C11" s="27" t="s">
        <v>18</v>
      </c>
      <c r="D11" s="27" t="s">
        <v>22</v>
      </c>
      <c r="E11" s="27" t="s">
        <v>7</v>
      </c>
      <c r="F11" s="27" t="s">
        <v>13</v>
      </c>
      <c r="G11" s="27" t="s">
        <v>16</v>
      </c>
      <c r="H11" s="27" t="s">
        <v>23</v>
      </c>
      <c r="I11" s="27" t="s">
        <v>24</v>
      </c>
      <c r="J11" s="27" t="s">
        <v>25</v>
      </c>
      <c r="K11" s="27" t="s">
        <v>26</v>
      </c>
      <c r="L11" s="27" t="s">
        <v>27</v>
      </c>
      <c r="M11" s="27" t="s">
        <v>28</v>
      </c>
      <c r="N11" s="27" t="s">
        <v>68</v>
      </c>
      <c r="P11" s="26"/>
    </row>
    <row r="12" spans="1:16" s="26" customFormat="1" ht="12.75">
      <c r="A12" s="26" t="s">
        <v>673</v>
      </c>
      <c r="B12" s="26">
        <f>B7</f>
        <v>1</v>
      </c>
      <c r="C12" s="26" t="str">
        <f>B9</f>
        <v>unit</v>
      </c>
      <c r="D12" s="26" t="s">
        <v>2</v>
      </c>
      <c r="E12" s="26" t="s">
        <v>29</v>
      </c>
      <c r="F12" s="26" t="str">
        <f>B6</f>
        <v>EUR</v>
      </c>
      <c r="G12" s="26" t="s">
        <v>30</v>
      </c>
      <c r="H12" s="26">
        <v>0</v>
      </c>
      <c r="I12" s="26">
        <f>B12</f>
        <v>1</v>
      </c>
      <c r="J12" s="26" t="s">
        <v>31</v>
      </c>
      <c r="K12" s="26" t="s">
        <v>31</v>
      </c>
      <c r="L12" s="26" t="s">
        <v>31</v>
      </c>
      <c r="M12" s="26" t="s">
        <v>31</v>
      </c>
    </row>
    <row r="13" spans="1:16" s="26" customFormat="1" ht="12.75">
      <c r="A13" s="32" t="s">
        <v>677</v>
      </c>
      <c r="B13" s="34">
        <v>1</v>
      </c>
      <c r="C13" s="26" t="s">
        <v>18</v>
      </c>
      <c r="D13" s="26" t="s">
        <v>2</v>
      </c>
      <c r="E13" s="26" t="s">
        <v>29</v>
      </c>
      <c r="F13" s="26" t="s">
        <v>14</v>
      </c>
      <c r="G13" s="26" t="s">
        <v>33</v>
      </c>
      <c r="H13" s="26">
        <v>0</v>
      </c>
      <c r="I13" s="26">
        <f t="shared" ref="I13:I15" si="0">B13</f>
        <v>1</v>
      </c>
      <c r="J13" s="26" t="s">
        <v>31</v>
      </c>
      <c r="K13" s="26" t="s">
        <v>31</v>
      </c>
      <c r="L13" s="26" t="s">
        <v>31</v>
      </c>
      <c r="M13" s="26" t="s">
        <v>31</v>
      </c>
    </row>
    <row r="14" spans="1:16" s="26" customFormat="1" ht="12.75">
      <c r="A14" s="32" t="s">
        <v>678</v>
      </c>
      <c r="B14" s="34">
        <v>1</v>
      </c>
      <c r="C14" s="26" t="s">
        <v>18</v>
      </c>
      <c r="D14" s="26" t="s">
        <v>2</v>
      </c>
      <c r="E14" s="26" t="s">
        <v>29</v>
      </c>
      <c r="F14" s="26" t="s">
        <v>14</v>
      </c>
      <c r="G14" s="26" t="s">
        <v>33</v>
      </c>
      <c r="H14" s="26">
        <v>0</v>
      </c>
      <c r="I14" s="26">
        <f t="shared" si="0"/>
        <v>1</v>
      </c>
      <c r="J14" s="26" t="s">
        <v>31</v>
      </c>
      <c r="K14" s="26" t="s">
        <v>31</v>
      </c>
      <c r="L14" s="26" t="s">
        <v>31</v>
      </c>
      <c r="M14" s="26" t="s">
        <v>31</v>
      </c>
    </row>
    <row r="15" spans="1:16" s="26" customFormat="1" ht="12.75">
      <c r="A15" s="32" t="s">
        <v>679</v>
      </c>
      <c r="B15" s="34">
        <v>1</v>
      </c>
      <c r="C15" s="26" t="s">
        <v>18</v>
      </c>
      <c r="D15" s="26" t="s">
        <v>2</v>
      </c>
      <c r="E15" s="26" t="s">
        <v>29</v>
      </c>
      <c r="F15" s="26" t="s">
        <v>14</v>
      </c>
      <c r="G15" s="26" t="s">
        <v>33</v>
      </c>
      <c r="H15" s="26">
        <v>0</v>
      </c>
      <c r="I15" s="26">
        <f t="shared" si="0"/>
        <v>1</v>
      </c>
      <c r="J15" s="26" t="s">
        <v>31</v>
      </c>
      <c r="K15" s="26" t="s">
        <v>31</v>
      </c>
      <c r="L15" s="26" t="s">
        <v>31</v>
      </c>
      <c r="M15" s="26" t="s">
        <v>31</v>
      </c>
    </row>
    <row r="16" spans="1:16" ht="15.75">
      <c r="A16" s="29" t="s">
        <v>5</v>
      </c>
      <c r="B16" s="29" t="s">
        <v>677</v>
      </c>
      <c r="C16" s="30"/>
      <c r="D16" s="31"/>
      <c r="E16" s="31"/>
      <c r="F16" s="31"/>
      <c r="G16" s="31"/>
      <c r="H16" s="31"/>
      <c r="I16" s="31"/>
      <c r="J16" s="31"/>
      <c r="K16" s="31"/>
      <c r="L16" s="31"/>
      <c r="M16" s="31"/>
      <c r="N16" s="31"/>
      <c r="P16" s="26"/>
    </row>
    <row r="17" spans="1:16" s="26" customFormat="1" ht="12.75">
      <c r="A17" s="26" t="s">
        <v>7</v>
      </c>
      <c r="B17" s="26" t="s">
        <v>674</v>
      </c>
    </row>
    <row r="18" spans="1:16" s="26" customFormat="1" ht="12.75">
      <c r="A18" s="26" t="s">
        <v>9</v>
      </c>
      <c r="B18" s="26" t="s">
        <v>680</v>
      </c>
    </row>
    <row r="19" spans="1:16" s="26" customFormat="1" ht="12.75">
      <c r="A19" s="26" t="s">
        <v>11</v>
      </c>
      <c r="B19" s="26" t="s">
        <v>681</v>
      </c>
    </row>
    <row r="20" spans="1:16" s="26" customFormat="1" ht="12.75">
      <c r="A20" s="26" t="s">
        <v>13</v>
      </c>
      <c r="B20" s="26" t="s">
        <v>14</v>
      </c>
    </row>
    <row r="21" spans="1:16" s="26" customFormat="1" ht="12.75">
      <c r="A21" s="26" t="s">
        <v>15</v>
      </c>
      <c r="B21" s="32">
        <v>1</v>
      </c>
    </row>
    <row r="22" spans="1:16" s="26" customFormat="1" ht="12.75">
      <c r="A22" s="26" t="s">
        <v>16</v>
      </c>
      <c r="B22" s="26" t="s">
        <v>17</v>
      </c>
    </row>
    <row r="23" spans="1:16" s="26" customFormat="1" ht="12.75">
      <c r="A23" s="26" t="s">
        <v>18</v>
      </c>
      <c r="B23" s="26" t="s">
        <v>18</v>
      </c>
    </row>
    <row r="24" spans="1:16" ht="15.75">
      <c r="A24" s="27" t="s">
        <v>19</v>
      </c>
      <c r="P24" s="26"/>
    </row>
    <row r="25" spans="1:16" ht="15.75">
      <c r="A25" s="27" t="s">
        <v>20</v>
      </c>
      <c r="B25" s="27" t="s">
        <v>21</v>
      </c>
      <c r="C25" s="27" t="s">
        <v>18</v>
      </c>
      <c r="D25" s="27" t="s">
        <v>22</v>
      </c>
      <c r="E25" s="27" t="s">
        <v>7</v>
      </c>
      <c r="F25" s="27" t="s">
        <v>13</v>
      </c>
      <c r="G25" s="27" t="s">
        <v>16</v>
      </c>
      <c r="H25" s="27" t="s">
        <v>23</v>
      </c>
      <c r="I25" s="27" t="s">
        <v>24</v>
      </c>
      <c r="J25" s="27" t="s">
        <v>25</v>
      </c>
      <c r="K25" s="27" t="s">
        <v>26</v>
      </c>
      <c r="L25" s="27" t="s">
        <v>27</v>
      </c>
      <c r="M25" s="27" t="s">
        <v>28</v>
      </c>
      <c r="N25" s="27" t="s">
        <v>68</v>
      </c>
      <c r="P25" s="26"/>
    </row>
    <row r="26" spans="1:16" s="26" customFormat="1" ht="12.75">
      <c r="A26" s="32" t="s">
        <v>677</v>
      </c>
      <c r="B26" s="26">
        <f>B21</f>
        <v>1</v>
      </c>
      <c r="C26" s="26" t="str">
        <f>B23</f>
        <v>unit</v>
      </c>
      <c r="D26" s="26" t="s">
        <v>2</v>
      </c>
      <c r="E26" s="26" t="s">
        <v>29</v>
      </c>
      <c r="F26" s="26" t="str">
        <f>B20</f>
        <v>EUR</v>
      </c>
      <c r="G26" s="26" t="s">
        <v>30</v>
      </c>
      <c r="H26" s="26">
        <v>0</v>
      </c>
      <c r="I26" s="26">
        <f t="shared" ref="I26:I31" si="1">B26</f>
        <v>1</v>
      </c>
      <c r="J26" s="26" t="s">
        <v>31</v>
      </c>
      <c r="K26" s="26" t="s">
        <v>31</v>
      </c>
      <c r="L26" s="26" t="s">
        <v>31</v>
      </c>
      <c r="M26" s="26" t="s">
        <v>31</v>
      </c>
    </row>
    <row r="27" spans="1:16" s="26" customFormat="1" ht="12.75">
      <c r="A27" s="32" t="s">
        <v>253</v>
      </c>
      <c r="B27" s="26">
        <v>668.3</v>
      </c>
      <c r="C27" s="26" t="s">
        <v>37</v>
      </c>
      <c r="D27" s="26" t="s">
        <v>40</v>
      </c>
      <c r="E27" s="26" t="s">
        <v>29</v>
      </c>
      <c r="F27" s="26" t="s">
        <v>58</v>
      </c>
      <c r="G27" s="26" t="s">
        <v>33</v>
      </c>
      <c r="H27" s="26">
        <v>5</v>
      </c>
      <c r="I27" s="26">
        <f t="shared" si="1"/>
        <v>668.3</v>
      </c>
      <c r="J27" s="26" t="s">
        <v>31</v>
      </c>
      <c r="K27" s="26" t="s">
        <v>31</v>
      </c>
      <c r="L27" s="26">
        <f>B27*(1-0.15)</f>
        <v>568.05499999999995</v>
      </c>
      <c r="M27" s="26">
        <f>B27*(1+0.15)</f>
        <v>768.54499999999985</v>
      </c>
    </row>
    <row r="28" spans="1:16" s="26" customFormat="1" ht="12.75">
      <c r="A28" s="32" t="s">
        <v>682</v>
      </c>
      <c r="B28" s="26">
        <v>20</v>
      </c>
      <c r="C28" s="26" t="s">
        <v>37</v>
      </c>
      <c r="D28" s="26" t="s">
        <v>40</v>
      </c>
      <c r="E28" s="26" t="s">
        <v>29</v>
      </c>
      <c r="F28" s="26" t="s">
        <v>58</v>
      </c>
      <c r="G28" s="26" t="s">
        <v>33</v>
      </c>
      <c r="H28" s="26">
        <v>5</v>
      </c>
      <c r="I28" s="26">
        <f t="shared" si="1"/>
        <v>20</v>
      </c>
      <c r="J28" s="26" t="s">
        <v>31</v>
      </c>
      <c r="K28" s="26" t="s">
        <v>31</v>
      </c>
      <c r="L28" s="26">
        <f>B28*(1-0.1)</f>
        <v>18</v>
      </c>
      <c r="M28" s="26">
        <f>B28*(1+0.1)</f>
        <v>22</v>
      </c>
    </row>
    <row r="29" spans="1:16" s="26" customFormat="1" ht="12.75">
      <c r="A29" s="32" t="s">
        <v>682</v>
      </c>
      <c r="B29" s="26">
        <v>14.705882352941176</v>
      </c>
      <c r="C29" s="26" t="s">
        <v>37</v>
      </c>
      <c r="D29" s="26" t="s">
        <v>40</v>
      </c>
      <c r="E29" s="26" t="s">
        <v>29</v>
      </c>
      <c r="F29" s="26" t="s">
        <v>58</v>
      </c>
      <c r="G29" s="26" t="s">
        <v>33</v>
      </c>
      <c r="H29" s="26">
        <v>5</v>
      </c>
      <c r="I29" s="26">
        <f t="shared" si="1"/>
        <v>14.705882352941176</v>
      </c>
      <c r="J29" s="26" t="s">
        <v>31</v>
      </c>
      <c r="K29" s="26" t="s">
        <v>31</v>
      </c>
      <c r="L29" s="26">
        <f>B29*(1-0.1)</f>
        <v>13.235294117647058</v>
      </c>
      <c r="M29" s="26">
        <f>B29*(1+0.1)</f>
        <v>16.176470588235293</v>
      </c>
    </row>
    <row r="30" spans="1:16" s="26" customFormat="1" ht="12.75">
      <c r="A30" s="32" t="s">
        <v>683</v>
      </c>
      <c r="B30" s="26">
        <f>250*0.791/1000</f>
        <v>0.19775000000000001</v>
      </c>
      <c r="C30" s="26" t="s">
        <v>37</v>
      </c>
      <c r="D30" s="26" t="s">
        <v>40</v>
      </c>
      <c r="E30" s="26" t="s">
        <v>29</v>
      </c>
      <c r="F30" s="26" t="s">
        <v>35</v>
      </c>
      <c r="G30" s="26" t="s">
        <v>33</v>
      </c>
      <c r="H30" s="26">
        <v>5</v>
      </c>
      <c r="I30" s="26">
        <f t="shared" si="1"/>
        <v>0.19775000000000001</v>
      </c>
      <c r="J30" s="26" t="s">
        <v>31</v>
      </c>
      <c r="K30" s="26" t="s">
        <v>31</v>
      </c>
      <c r="L30" s="26">
        <f>B30*(1-0.1)</f>
        <v>0.17797500000000002</v>
      </c>
      <c r="M30" s="26">
        <f>B30*(1+0.1)</f>
        <v>0.21752500000000002</v>
      </c>
      <c r="N30" s="26" t="s">
        <v>684</v>
      </c>
    </row>
    <row r="31" spans="1:16" s="26" customFormat="1" ht="12.75">
      <c r="A31" s="32" t="s">
        <v>685</v>
      </c>
      <c r="B31" s="26">
        <v>0.3</v>
      </c>
      <c r="C31" s="26" t="s">
        <v>37</v>
      </c>
      <c r="D31" s="26" t="s">
        <v>40</v>
      </c>
      <c r="E31" s="26" t="s">
        <v>29</v>
      </c>
      <c r="F31" s="26" t="s">
        <v>35</v>
      </c>
      <c r="G31" s="26" t="s">
        <v>33</v>
      </c>
      <c r="H31" s="26">
        <v>5</v>
      </c>
      <c r="I31" s="26">
        <f t="shared" si="1"/>
        <v>0.3</v>
      </c>
      <c r="J31" s="26" t="s">
        <v>31</v>
      </c>
      <c r="K31" s="26" t="s">
        <v>31</v>
      </c>
      <c r="L31" s="26">
        <f>B31*(1-0.1)</f>
        <v>0.27</v>
      </c>
      <c r="M31" s="26">
        <f>B31*(1+0.1)</f>
        <v>0.33</v>
      </c>
    </row>
    <row r="32" spans="1:16" ht="15.75">
      <c r="A32" s="29" t="s">
        <v>5</v>
      </c>
      <c r="B32" s="29" t="s">
        <v>678</v>
      </c>
      <c r="C32" s="30"/>
      <c r="D32" s="31"/>
      <c r="E32" s="31"/>
      <c r="F32" s="31"/>
      <c r="G32" s="31"/>
      <c r="H32" s="31"/>
      <c r="I32" s="31"/>
      <c r="J32" s="31"/>
      <c r="K32" s="31"/>
      <c r="L32" s="31"/>
      <c r="M32" s="31"/>
      <c r="N32" s="31"/>
      <c r="P32" s="26"/>
    </row>
    <row r="33" spans="1:16" s="26" customFormat="1" ht="12.75">
      <c r="A33" s="26" t="s">
        <v>7</v>
      </c>
      <c r="B33" s="26" t="s">
        <v>674</v>
      </c>
    </row>
    <row r="34" spans="1:16" s="26" customFormat="1" ht="12.75">
      <c r="A34" s="26" t="s">
        <v>9</v>
      </c>
      <c r="B34" s="26" t="s">
        <v>686</v>
      </c>
    </row>
    <row r="35" spans="1:16" s="26" customFormat="1" ht="12.75">
      <c r="A35" s="26" t="s">
        <v>11</v>
      </c>
      <c r="B35" s="26" t="s">
        <v>687</v>
      </c>
    </row>
    <row r="36" spans="1:16" s="26" customFormat="1" ht="12.75">
      <c r="A36" s="26" t="s">
        <v>13</v>
      </c>
      <c r="B36" s="26" t="s">
        <v>14</v>
      </c>
    </row>
    <row r="37" spans="1:16" s="26" customFormat="1" ht="12.75">
      <c r="A37" s="26" t="s">
        <v>15</v>
      </c>
      <c r="B37" s="32">
        <v>1</v>
      </c>
    </row>
    <row r="38" spans="1:16" s="26" customFormat="1" ht="12.75">
      <c r="A38" s="26" t="s">
        <v>16</v>
      </c>
      <c r="B38" s="26" t="s">
        <v>17</v>
      </c>
    </row>
    <row r="39" spans="1:16" s="26" customFormat="1" ht="12.75">
      <c r="A39" s="26" t="s">
        <v>18</v>
      </c>
      <c r="B39" s="26" t="s">
        <v>18</v>
      </c>
    </row>
    <row r="40" spans="1:16" ht="15.75">
      <c r="A40" s="27" t="s">
        <v>19</v>
      </c>
      <c r="P40" s="26"/>
    </row>
    <row r="41" spans="1:16" ht="15.75">
      <c r="A41" s="27" t="s">
        <v>20</v>
      </c>
      <c r="B41" s="27" t="s">
        <v>21</v>
      </c>
      <c r="C41" s="27" t="s">
        <v>18</v>
      </c>
      <c r="D41" s="27" t="s">
        <v>22</v>
      </c>
      <c r="E41" s="27" t="s">
        <v>7</v>
      </c>
      <c r="F41" s="27" t="s">
        <v>13</v>
      </c>
      <c r="G41" s="27" t="s">
        <v>16</v>
      </c>
      <c r="H41" s="27" t="s">
        <v>23</v>
      </c>
      <c r="I41" s="27" t="s">
        <v>24</v>
      </c>
      <c r="J41" s="27" t="s">
        <v>25</v>
      </c>
      <c r="K41" s="27" t="s">
        <v>26</v>
      </c>
      <c r="L41" s="27" t="s">
        <v>27</v>
      </c>
      <c r="M41" s="27" t="s">
        <v>28</v>
      </c>
      <c r="N41" s="27" t="s">
        <v>68</v>
      </c>
      <c r="P41" s="26"/>
    </row>
    <row r="42" spans="1:16" s="26" customFormat="1" ht="12.75">
      <c r="A42" s="26" t="s">
        <v>678</v>
      </c>
      <c r="B42" s="26">
        <f>B37</f>
        <v>1</v>
      </c>
      <c r="C42" s="26" t="str">
        <f>B39</f>
        <v>unit</v>
      </c>
      <c r="D42" s="26" t="s">
        <v>2</v>
      </c>
      <c r="E42" s="26" t="s">
        <v>29</v>
      </c>
      <c r="F42" s="26" t="str">
        <f>B36</f>
        <v>EUR</v>
      </c>
      <c r="G42" s="26" t="s">
        <v>30</v>
      </c>
      <c r="H42" s="26">
        <v>0</v>
      </c>
      <c r="I42" s="26">
        <f>B42</f>
        <v>1</v>
      </c>
      <c r="J42" s="26" t="s">
        <v>31</v>
      </c>
      <c r="K42" s="26" t="s">
        <v>31</v>
      </c>
      <c r="L42" s="26" t="s">
        <v>31</v>
      </c>
      <c r="M42" s="26" t="s">
        <v>31</v>
      </c>
    </row>
    <row r="43" spans="1:16" s="26" customFormat="1" ht="12.75">
      <c r="A43" s="26" t="s">
        <v>618</v>
      </c>
      <c r="B43" s="26">
        <v>1</v>
      </c>
      <c r="C43" s="26" t="s">
        <v>37</v>
      </c>
      <c r="D43" s="26" t="s">
        <v>40</v>
      </c>
      <c r="E43" s="26" t="s">
        <v>29</v>
      </c>
      <c r="F43" s="26" t="s">
        <v>58</v>
      </c>
      <c r="G43" s="26" t="s">
        <v>33</v>
      </c>
      <c r="H43" s="26">
        <v>5</v>
      </c>
      <c r="I43" s="26">
        <f t="shared" ref="I43:I47" si="2">B43</f>
        <v>1</v>
      </c>
      <c r="J43" s="26" t="s">
        <v>31</v>
      </c>
      <c r="K43" s="26" t="s">
        <v>31</v>
      </c>
      <c r="L43" s="26">
        <f>B43*(1-0.1)</f>
        <v>0.9</v>
      </c>
      <c r="M43" s="26">
        <f>B43*(1+0.1)</f>
        <v>1.1000000000000001</v>
      </c>
    </row>
    <row r="44" spans="1:16" s="26" customFormat="1" ht="12.75">
      <c r="A44" s="26" t="s">
        <v>688</v>
      </c>
      <c r="B44" s="26">
        <v>3.4</v>
      </c>
      <c r="C44" s="26" t="s">
        <v>37</v>
      </c>
      <c r="D44" s="26" t="s">
        <v>40</v>
      </c>
      <c r="E44" s="26" t="s">
        <v>29</v>
      </c>
      <c r="F44" s="26" t="s">
        <v>58</v>
      </c>
      <c r="G44" s="26" t="s">
        <v>33</v>
      </c>
      <c r="H44" s="26">
        <v>5</v>
      </c>
      <c r="I44" s="26">
        <f t="shared" si="2"/>
        <v>3.4</v>
      </c>
      <c r="J44" s="26" t="s">
        <v>31</v>
      </c>
      <c r="K44" s="26" t="s">
        <v>31</v>
      </c>
      <c r="L44" s="26">
        <f t="shared" ref="L44:L47" si="3">B44*(1-0.1)</f>
        <v>3.06</v>
      </c>
      <c r="M44" s="26">
        <f t="shared" ref="M44:M47" si="4">B44*(1+0.1)</f>
        <v>3.74</v>
      </c>
    </row>
    <row r="45" spans="1:16" s="26" customFormat="1" ht="12.75">
      <c r="A45" s="26" t="s">
        <v>682</v>
      </c>
      <c r="B45" s="26">
        <v>3.3</v>
      </c>
      <c r="C45" s="26" t="s">
        <v>37</v>
      </c>
      <c r="D45" s="26" t="s">
        <v>40</v>
      </c>
      <c r="E45" s="26" t="s">
        <v>29</v>
      </c>
      <c r="F45" s="26" t="s">
        <v>58</v>
      </c>
      <c r="G45" s="26" t="s">
        <v>33</v>
      </c>
      <c r="H45" s="26">
        <v>5</v>
      </c>
      <c r="I45" s="26">
        <f t="shared" si="2"/>
        <v>3.3</v>
      </c>
      <c r="J45" s="26" t="s">
        <v>31</v>
      </c>
      <c r="K45" s="26" t="s">
        <v>31</v>
      </c>
      <c r="L45" s="26">
        <f t="shared" si="3"/>
        <v>2.9699999999999998</v>
      </c>
      <c r="M45" s="26">
        <f t="shared" si="4"/>
        <v>3.63</v>
      </c>
    </row>
    <row r="46" spans="1:16" s="26" customFormat="1" ht="12.75">
      <c r="A46" s="26" t="s">
        <v>682</v>
      </c>
      <c r="B46" s="26">
        <v>4</v>
      </c>
      <c r="C46" s="26" t="s">
        <v>37</v>
      </c>
      <c r="D46" s="26" t="s">
        <v>40</v>
      </c>
      <c r="E46" s="26" t="s">
        <v>29</v>
      </c>
      <c r="F46" s="26" t="s">
        <v>58</v>
      </c>
      <c r="G46" s="26" t="s">
        <v>33</v>
      </c>
      <c r="H46" s="26">
        <v>5</v>
      </c>
      <c r="I46" s="26">
        <f t="shared" si="2"/>
        <v>4</v>
      </c>
      <c r="J46" s="26" t="s">
        <v>31</v>
      </c>
      <c r="K46" s="26" t="s">
        <v>31</v>
      </c>
      <c r="L46" s="26">
        <f t="shared" si="3"/>
        <v>3.6</v>
      </c>
      <c r="M46" s="26">
        <f t="shared" si="4"/>
        <v>4.4000000000000004</v>
      </c>
    </row>
    <row r="47" spans="1:16" s="26" customFormat="1" ht="12.75">
      <c r="A47" s="26" t="s">
        <v>688</v>
      </c>
      <c r="B47" s="26">
        <v>2</v>
      </c>
      <c r="C47" s="26" t="s">
        <v>37</v>
      </c>
      <c r="D47" s="26" t="s">
        <v>40</v>
      </c>
      <c r="E47" s="26" t="s">
        <v>29</v>
      </c>
      <c r="F47" s="26" t="s">
        <v>58</v>
      </c>
      <c r="G47" s="26" t="s">
        <v>33</v>
      </c>
      <c r="H47" s="26">
        <v>5</v>
      </c>
      <c r="I47" s="26">
        <f t="shared" si="2"/>
        <v>2</v>
      </c>
      <c r="J47" s="26" t="s">
        <v>31</v>
      </c>
      <c r="K47" s="26" t="s">
        <v>31</v>
      </c>
      <c r="L47" s="26">
        <f t="shared" si="3"/>
        <v>1.8</v>
      </c>
      <c r="M47" s="26">
        <f t="shared" si="4"/>
        <v>2.2000000000000002</v>
      </c>
    </row>
    <row r="48" spans="1:16" ht="15.75">
      <c r="A48" s="29" t="s">
        <v>5</v>
      </c>
      <c r="B48" s="29" t="s">
        <v>679</v>
      </c>
      <c r="C48" s="30"/>
      <c r="D48" s="31"/>
      <c r="E48" s="31"/>
      <c r="F48" s="31"/>
      <c r="G48" s="31"/>
      <c r="H48" s="31"/>
      <c r="I48" s="31"/>
      <c r="J48" s="31"/>
      <c r="K48" s="31"/>
      <c r="L48" s="31"/>
      <c r="M48" s="31"/>
      <c r="N48" s="31"/>
      <c r="P48" s="26"/>
    </row>
    <row r="49" spans="1:16">
      <c r="A49" s="26" t="s">
        <v>7</v>
      </c>
      <c r="B49" s="26" t="s">
        <v>674</v>
      </c>
      <c r="C49" s="26"/>
      <c r="D49" s="26"/>
      <c r="E49" s="26"/>
      <c r="F49" s="26"/>
      <c r="G49" s="26"/>
      <c r="H49" s="26"/>
      <c r="I49" s="26"/>
      <c r="J49" s="26"/>
      <c r="K49" s="26"/>
      <c r="L49" s="26"/>
      <c r="M49" s="26"/>
      <c r="N49" s="26"/>
      <c r="P49" s="26"/>
    </row>
    <row r="50" spans="1:16">
      <c r="A50" s="26" t="s">
        <v>9</v>
      </c>
      <c r="B50" s="26" t="s">
        <v>689</v>
      </c>
      <c r="C50" s="26"/>
      <c r="D50" s="26"/>
      <c r="E50" s="26"/>
      <c r="F50" s="26"/>
      <c r="G50" s="26"/>
      <c r="H50" s="26"/>
      <c r="I50" s="26"/>
      <c r="J50" s="26"/>
      <c r="K50" s="26"/>
      <c r="L50" s="26"/>
      <c r="M50" s="26"/>
      <c r="N50" s="26"/>
      <c r="P50" s="26"/>
    </row>
    <row r="51" spans="1:16">
      <c r="A51" s="26" t="s">
        <v>11</v>
      </c>
      <c r="B51" s="26" t="s">
        <v>690</v>
      </c>
      <c r="C51" s="26"/>
      <c r="D51" s="26"/>
      <c r="E51" s="26"/>
      <c r="F51" s="26"/>
      <c r="G51" s="26"/>
      <c r="H51" s="26"/>
      <c r="I51" s="26"/>
      <c r="J51" s="26"/>
      <c r="K51" s="26"/>
      <c r="L51" s="26"/>
      <c r="M51" s="26"/>
      <c r="N51" s="26"/>
      <c r="P51" s="26"/>
    </row>
    <row r="52" spans="1:16">
      <c r="A52" s="26" t="s">
        <v>13</v>
      </c>
      <c r="B52" s="26" t="s">
        <v>14</v>
      </c>
      <c r="C52" s="26"/>
      <c r="D52" s="26"/>
      <c r="E52" s="26"/>
      <c r="F52" s="26"/>
      <c r="G52" s="26"/>
      <c r="H52" s="26"/>
      <c r="I52" s="26"/>
      <c r="J52" s="26"/>
      <c r="K52" s="26"/>
      <c r="L52" s="26"/>
      <c r="M52" s="26"/>
      <c r="N52" s="26"/>
      <c r="P52" s="26"/>
    </row>
    <row r="53" spans="1:16">
      <c r="A53" s="26" t="s">
        <v>15</v>
      </c>
      <c r="B53" s="32">
        <v>1</v>
      </c>
      <c r="C53" s="26"/>
      <c r="D53" s="26"/>
      <c r="E53" s="26"/>
      <c r="F53" s="26"/>
      <c r="G53" s="26"/>
      <c r="H53" s="26"/>
      <c r="I53" s="26"/>
      <c r="J53" s="26"/>
      <c r="K53" s="26"/>
      <c r="L53" s="26"/>
      <c r="M53" s="26"/>
      <c r="N53" s="26"/>
      <c r="P53" s="26"/>
    </row>
    <row r="54" spans="1:16">
      <c r="A54" s="26" t="s">
        <v>16</v>
      </c>
      <c r="B54" s="26" t="s">
        <v>17</v>
      </c>
      <c r="C54" s="26"/>
      <c r="D54" s="26"/>
      <c r="E54" s="26"/>
      <c r="F54" s="26"/>
      <c r="G54" s="26"/>
      <c r="H54" s="26"/>
      <c r="I54" s="26"/>
      <c r="J54" s="26"/>
      <c r="K54" s="26"/>
      <c r="L54" s="26"/>
      <c r="M54" s="26"/>
      <c r="N54" s="26"/>
      <c r="P54" s="26"/>
    </row>
    <row r="55" spans="1:16">
      <c r="A55" s="26" t="s">
        <v>18</v>
      </c>
      <c r="B55" s="26" t="s">
        <v>18</v>
      </c>
      <c r="C55" s="26"/>
      <c r="D55" s="26"/>
      <c r="E55" s="26"/>
      <c r="F55" s="26"/>
      <c r="G55" s="26"/>
      <c r="H55" s="26"/>
      <c r="I55" s="26"/>
      <c r="J55" s="26"/>
      <c r="K55" s="26"/>
      <c r="L55" s="26"/>
      <c r="M55" s="26"/>
      <c r="N55" s="26"/>
      <c r="P55" s="26"/>
    </row>
    <row r="56" spans="1:16" ht="15.75">
      <c r="A56" s="27" t="s">
        <v>19</v>
      </c>
      <c r="P56" s="26"/>
    </row>
    <row r="57" spans="1:16" ht="15.75">
      <c r="A57" s="27" t="s">
        <v>20</v>
      </c>
      <c r="B57" s="27" t="s">
        <v>21</v>
      </c>
      <c r="C57" s="27" t="s">
        <v>18</v>
      </c>
      <c r="D57" s="27" t="s">
        <v>22</v>
      </c>
      <c r="E57" s="27" t="s">
        <v>7</v>
      </c>
      <c r="F57" s="27" t="s">
        <v>13</v>
      </c>
      <c r="G57" s="27" t="s">
        <v>16</v>
      </c>
      <c r="H57" s="27" t="s">
        <v>23</v>
      </c>
      <c r="I57" s="27" t="s">
        <v>24</v>
      </c>
      <c r="J57" s="27" t="s">
        <v>25</v>
      </c>
      <c r="K57" s="27" t="s">
        <v>26</v>
      </c>
      <c r="L57" s="27" t="s">
        <v>27</v>
      </c>
      <c r="M57" s="27" t="s">
        <v>28</v>
      </c>
      <c r="N57" s="27" t="s">
        <v>68</v>
      </c>
      <c r="P57" s="26"/>
    </row>
    <row r="58" spans="1:16">
      <c r="A58" s="26" t="s">
        <v>679</v>
      </c>
      <c r="B58" s="26">
        <f>B53</f>
        <v>1</v>
      </c>
      <c r="C58" s="26" t="str">
        <f>B55</f>
        <v>unit</v>
      </c>
      <c r="D58" s="26" t="s">
        <v>2</v>
      </c>
      <c r="E58" s="26" t="s">
        <v>29</v>
      </c>
      <c r="F58" s="26" t="str">
        <f>B52</f>
        <v>EUR</v>
      </c>
      <c r="G58" s="26" t="s">
        <v>30</v>
      </c>
      <c r="H58" s="26">
        <v>0</v>
      </c>
      <c r="I58" s="26">
        <f>B58</f>
        <v>1</v>
      </c>
      <c r="J58" s="26" t="s">
        <v>31</v>
      </c>
      <c r="K58" s="26" t="s">
        <v>31</v>
      </c>
      <c r="L58" s="26" t="s">
        <v>31</v>
      </c>
      <c r="M58" s="26" t="s">
        <v>31</v>
      </c>
      <c r="N58" s="26"/>
      <c r="P58" s="26"/>
    </row>
    <row r="59" spans="1:16">
      <c r="A59" s="26" t="s">
        <v>682</v>
      </c>
      <c r="B59" s="26">
        <v>5.2</v>
      </c>
      <c r="C59" s="26" t="s">
        <v>37</v>
      </c>
      <c r="D59" s="26" t="s">
        <v>40</v>
      </c>
      <c r="E59" s="26" t="s">
        <v>29</v>
      </c>
      <c r="F59" s="26" t="s">
        <v>58</v>
      </c>
      <c r="G59" s="26" t="s">
        <v>33</v>
      </c>
      <c r="H59" s="26">
        <v>5</v>
      </c>
      <c r="I59" s="26">
        <f t="shared" ref="I59" si="5">B59</f>
        <v>5.2</v>
      </c>
      <c r="J59" s="26" t="s">
        <v>31</v>
      </c>
      <c r="K59" s="26" t="s">
        <v>31</v>
      </c>
      <c r="L59" s="26">
        <f>B59*(1-0.2)</f>
        <v>4.16</v>
      </c>
      <c r="M59" s="26">
        <f>B59*(1+0.2)</f>
        <v>6.24</v>
      </c>
      <c r="N59" s="26"/>
      <c r="P59" s="26"/>
    </row>
    <row r="60" spans="1:16">
      <c r="P60" s="26"/>
    </row>
    <row r="61" spans="1:16">
      <c r="P61" s="26"/>
    </row>
    <row r="62" spans="1:16">
      <c r="P62" s="26"/>
    </row>
  </sheetData>
  <conditionalFormatting sqref="B1">
    <cfRule type="containsText" dxfId="0" priority="1" operator="containsText" text="unit">
      <formula>NOT(ISERROR(SEARCH("unit",B1)))</formula>
    </cfRule>
  </conditionalFormatting>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B1CC2-0858-43CA-9628-A4CD9AFBE5BC}">
  <dimension ref="A1:Q109"/>
  <sheetViews>
    <sheetView topLeftCell="A55" zoomScale="85" zoomScaleNormal="85" workbookViewId="0">
      <selection activeCell="A109" sqref="A109"/>
    </sheetView>
  </sheetViews>
  <sheetFormatPr defaultRowHeight="12.75"/>
  <cols>
    <col min="1" max="1" width="45.42578125" style="46" customWidth="1"/>
    <col min="2" max="2" width="53.42578125" style="46" customWidth="1"/>
    <col min="3" max="3" width="11.140625" style="46" customWidth="1"/>
    <col min="4" max="4" width="11.5703125" style="46" customWidth="1"/>
    <col min="5" max="5" width="28.5703125" style="46" customWidth="1"/>
    <col min="6" max="6" width="21.140625" style="46" customWidth="1"/>
    <col min="7" max="7" width="9.140625" style="46"/>
    <col min="8" max="8" width="16.85546875" style="46" customWidth="1"/>
    <col min="9" max="14" width="9.140625" style="46"/>
    <col min="15" max="16" width="49.140625" style="46" customWidth="1"/>
    <col min="17" max="16384" width="9.140625" style="46"/>
  </cols>
  <sheetData>
    <row r="1" spans="1:15" s="334" customFormat="1">
      <c r="A1" s="334" t="s">
        <v>0</v>
      </c>
      <c r="B1" s="334">
        <v>13</v>
      </c>
    </row>
    <row r="2" spans="1:15">
      <c r="A2" s="335" t="s">
        <v>5</v>
      </c>
      <c r="B2" s="336" t="s">
        <v>691</v>
      </c>
      <c r="C2" s="336"/>
      <c r="D2" s="337"/>
    </row>
    <row r="3" spans="1:15">
      <c r="A3" s="338" t="s">
        <v>7</v>
      </c>
      <c r="B3" s="46" t="s">
        <v>692</v>
      </c>
      <c r="D3" s="337"/>
    </row>
    <row r="4" spans="1:15">
      <c r="A4" s="338" t="s">
        <v>9</v>
      </c>
      <c r="B4" s="46" t="s">
        <v>693</v>
      </c>
      <c r="D4" s="337"/>
    </row>
    <row r="5" spans="1:15" ht="25.5">
      <c r="A5" s="338" t="s">
        <v>11</v>
      </c>
      <c r="B5" s="339" t="s">
        <v>694</v>
      </c>
      <c r="C5" s="339"/>
    </row>
    <row r="6" spans="1:15">
      <c r="A6" s="338" t="s">
        <v>13</v>
      </c>
      <c r="B6" s="46" t="s">
        <v>14</v>
      </c>
    </row>
    <row r="7" spans="1:15">
      <c r="A7" s="338" t="s">
        <v>15</v>
      </c>
      <c r="B7" s="46">
        <v>1</v>
      </c>
    </row>
    <row r="8" spans="1:15">
      <c r="A8" s="338" t="s">
        <v>16</v>
      </c>
      <c r="B8" s="46" t="s">
        <v>17</v>
      </c>
    </row>
    <row r="9" spans="1:15">
      <c r="A9" s="338" t="s">
        <v>18</v>
      </c>
      <c r="B9" s="46" t="s">
        <v>18</v>
      </c>
    </row>
    <row r="10" spans="1:15">
      <c r="A10" s="335" t="s">
        <v>19</v>
      </c>
    </row>
    <row r="11" spans="1:15" ht="15">
      <c r="A11" s="335" t="s">
        <v>20</v>
      </c>
      <c r="B11" s="336" t="s">
        <v>21</v>
      </c>
      <c r="C11" s="122" t="s">
        <v>198</v>
      </c>
      <c r="D11" s="336" t="s">
        <v>18</v>
      </c>
      <c r="E11" s="336" t="s">
        <v>22</v>
      </c>
      <c r="F11" s="336" t="s">
        <v>7</v>
      </c>
      <c r="G11" s="336" t="s">
        <v>13</v>
      </c>
      <c r="H11" s="336" t="s">
        <v>16</v>
      </c>
      <c r="I11" s="336" t="s">
        <v>23</v>
      </c>
      <c r="J11" s="336" t="s">
        <v>24</v>
      </c>
      <c r="K11" s="336" t="s">
        <v>25</v>
      </c>
      <c r="L11" s="336" t="s">
        <v>26</v>
      </c>
      <c r="M11" s="336" t="s">
        <v>27</v>
      </c>
      <c r="N11" s="336" t="s">
        <v>28</v>
      </c>
      <c r="O11" s="336" t="s">
        <v>11</v>
      </c>
    </row>
    <row r="12" spans="1:15" s="340" customFormat="1">
      <c r="A12" s="340" t="s">
        <v>691</v>
      </c>
      <c r="B12" s="340">
        <v>1</v>
      </c>
      <c r="D12" s="340" t="s">
        <v>18</v>
      </c>
      <c r="E12" s="340" t="s">
        <v>2</v>
      </c>
      <c r="F12" s="340" t="s">
        <v>29</v>
      </c>
      <c r="G12" s="340" t="s">
        <v>14</v>
      </c>
      <c r="H12" s="340" t="s">
        <v>30</v>
      </c>
      <c r="I12" s="340">
        <v>1</v>
      </c>
      <c r="J12" s="340">
        <v>1</v>
      </c>
      <c r="K12" s="340" t="s">
        <v>31</v>
      </c>
      <c r="L12" s="340" t="s">
        <v>31</v>
      </c>
      <c r="M12" s="340" t="s">
        <v>31</v>
      </c>
      <c r="N12" s="340" t="s">
        <v>31</v>
      </c>
      <c r="O12" s="340" t="s">
        <v>695</v>
      </c>
    </row>
    <row r="13" spans="1:15" s="341" customFormat="1" ht="13.5" thickBot="1">
      <c r="A13" s="341" t="s">
        <v>696</v>
      </c>
      <c r="B13" s="341">
        <v>10</v>
      </c>
      <c r="D13" s="341" t="s">
        <v>18</v>
      </c>
      <c r="E13" s="341" t="s">
        <v>2</v>
      </c>
      <c r="F13" s="341" t="s">
        <v>29</v>
      </c>
      <c r="G13" s="341" t="s">
        <v>58</v>
      </c>
      <c r="H13" s="341" t="s">
        <v>33</v>
      </c>
      <c r="I13" s="341">
        <v>1</v>
      </c>
      <c r="J13" s="341">
        <v>1</v>
      </c>
      <c r="K13" s="341" t="s">
        <v>31</v>
      </c>
      <c r="L13" s="341" t="s">
        <v>31</v>
      </c>
      <c r="M13" s="341" t="s">
        <v>31</v>
      </c>
      <c r="N13" s="341" t="s">
        <v>31</v>
      </c>
    </row>
    <row r="14" spans="1:15">
      <c r="A14" s="335" t="s">
        <v>5</v>
      </c>
      <c r="B14" s="336" t="s">
        <v>696</v>
      </c>
      <c r="C14" s="336"/>
      <c r="D14" s="337"/>
    </row>
    <row r="15" spans="1:15">
      <c r="A15" s="338" t="s">
        <v>7</v>
      </c>
      <c r="B15" s="46" t="s">
        <v>692</v>
      </c>
      <c r="D15" s="337"/>
    </row>
    <row r="16" spans="1:15">
      <c r="A16" s="338" t="s">
        <v>9</v>
      </c>
      <c r="B16" s="46" t="s">
        <v>697</v>
      </c>
      <c r="D16" s="337"/>
    </row>
    <row r="17" spans="1:15" ht="14.25" customHeight="1">
      <c r="A17" s="338" t="s">
        <v>11</v>
      </c>
      <c r="B17" s="339" t="s">
        <v>698</v>
      </c>
      <c r="C17" s="339"/>
    </row>
    <row r="18" spans="1:15">
      <c r="A18" s="338" t="s">
        <v>13</v>
      </c>
      <c r="B18" s="46" t="s">
        <v>58</v>
      </c>
    </row>
    <row r="19" spans="1:15">
      <c r="A19" s="338" t="s">
        <v>15</v>
      </c>
      <c r="B19" s="46">
        <v>1</v>
      </c>
    </row>
    <row r="20" spans="1:15">
      <c r="A20" s="338" t="s">
        <v>16</v>
      </c>
      <c r="B20" s="46" t="s">
        <v>17</v>
      </c>
    </row>
    <row r="21" spans="1:15">
      <c r="A21" s="338" t="s">
        <v>18</v>
      </c>
      <c r="B21" s="46" t="s">
        <v>18</v>
      </c>
    </row>
    <row r="22" spans="1:15">
      <c r="A22" s="335" t="s">
        <v>19</v>
      </c>
    </row>
    <row r="23" spans="1:15" ht="15">
      <c r="A23" s="335" t="s">
        <v>20</v>
      </c>
      <c r="B23" s="336" t="s">
        <v>21</v>
      </c>
      <c r="C23" s="122" t="s">
        <v>198</v>
      </c>
      <c r="D23" s="336" t="s">
        <v>18</v>
      </c>
      <c r="E23" s="336" t="s">
        <v>22</v>
      </c>
      <c r="F23" s="336" t="s">
        <v>7</v>
      </c>
      <c r="G23" s="336" t="s">
        <v>13</v>
      </c>
      <c r="H23" s="336" t="s">
        <v>16</v>
      </c>
      <c r="I23" s="336" t="s">
        <v>23</v>
      </c>
      <c r="J23" s="336" t="s">
        <v>24</v>
      </c>
      <c r="K23" s="336" t="s">
        <v>25</v>
      </c>
      <c r="L23" s="336" t="s">
        <v>26</v>
      </c>
      <c r="M23" s="336" t="s">
        <v>27</v>
      </c>
      <c r="N23" s="336" t="s">
        <v>28</v>
      </c>
      <c r="O23" s="336" t="s">
        <v>11</v>
      </c>
    </row>
    <row r="24" spans="1:15" s="340" customFormat="1">
      <c r="A24" s="340" t="s">
        <v>696</v>
      </c>
      <c r="B24" s="340">
        <v>1</v>
      </c>
      <c r="D24" s="340" t="s">
        <v>18</v>
      </c>
      <c r="E24" s="340" t="s">
        <v>2</v>
      </c>
      <c r="F24" s="340" t="s">
        <v>29</v>
      </c>
      <c r="G24" s="340" t="s">
        <v>58</v>
      </c>
      <c r="H24" s="340" t="s">
        <v>30</v>
      </c>
      <c r="I24" s="340">
        <v>1</v>
      </c>
      <c r="J24" s="340">
        <f>B24</f>
        <v>1</v>
      </c>
      <c r="K24" s="340" t="s">
        <v>31</v>
      </c>
      <c r="L24" s="340" t="s">
        <v>31</v>
      </c>
      <c r="M24" s="340" t="s">
        <v>31</v>
      </c>
      <c r="N24" s="340" t="s">
        <v>31</v>
      </c>
    </row>
    <row r="25" spans="1:15">
      <c r="A25" s="46" t="s">
        <v>699</v>
      </c>
      <c r="B25" s="46">
        <v>41.64</v>
      </c>
      <c r="D25" s="46" t="s">
        <v>37</v>
      </c>
      <c r="E25" s="46" t="s">
        <v>2</v>
      </c>
      <c r="F25" s="46" t="s">
        <v>29</v>
      </c>
      <c r="G25" s="46" t="s">
        <v>58</v>
      </c>
      <c r="H25" s="46" t="s">
        <v>33</v>
      </c>
      <c r="I25" s="46">
        <v>2</v>
      </c>
      <c r="J25" s="46">
        <f>LN(B25)</f>
        <v>3.7290612437467683</v>
      </c>
      <c r="K25" s="46">
        <v>0.34842502800000003</v>
      </c>
      <c r="L25" s="46" t="s">
        <v>31</v>
      </c>
      <c r="M25" s="46" t="s">
        <v>31</v>
      </c>
      <c r="N25" s="46" t="s">
        <v>31</v>
      </c>
    </row>
    <row r="26" spans="1:15">
      <c r="A26" s="46" t="s">
        <v>700</v>
      </c>
      <c r="B26" s="46">
        <v>5.19</v>
      </c>
      <c r="D26" s="46" t="s">
        <v>37</v>
      </c>
      <c r="E26" s="46" t="s">
        <v>2</v>
      </c>
      <c r="F26" s="46" t="s">
        <v>29</v>
      </c>
      <c r="G26" s="46" t="s">
        <v>58</v>
      </c>
      <c r="H26" s="46" t="s">
        <v>33</v>
      </c>
      <c r="I26" s="46">
        <v>2</v>
      </c>
      <c r="J26" s="46">
        <f t="shared" ref="J26:J27" si="0">LN(B26)</f>
        <v>1.6467336971777973</v>
      </c>
      <c r="K26" s="46">
        <v>0.34842502800000003</v>
      </c>
      <c r="L26" s="46" t="s">
        <v>31</v>
      </c>
      <c r="M26" s="46" t="s">
        <v>31</v>
      </c>
      <c r="N26" s="46" t="s">
        <v>31</v>
      </c>
    </row>
    <row r="27" spans="1:15" s="341" customFormat="1" ht="13.5" thickBot="1">
      <c r="A27" s="341" t="s">
        <v>701</v>
      </c>
      <c r="B27" s="341">
        <v>19.71</v>
      </c>
      <c r="D27" s="341" t="s">
        <v>37</v>
      </c>
      <c r="E27" s="341" t="s">
        <v>2</v>
      </c>
      <c r="F27" s="341" t="s">
        <v>29</v>
      </c>
      <c r="G27" s="341" t="s">
        <v>58</v>
      </c>
      <c r="H27" s="341" t="s">
        <v>33</v>
      </c>
      <c r="I27" s="341">
        <v>2</v>
      </c>
      <c r="J27" s="341">
        <f t="shared" si="0"/>
        <v>2.9811261211646287</v>
      </c>
      <c r="K27" s="341">
        <v>0.34842502800000003</v>
      </c>
      <c r="L27" s="341" t="s">
        <v>31</v>
      </c>
      <c r="M27" s="341" t="s">
        <v>31</v>
      </c>
      <c r="N27" s="341" t="s">
        <v>31</v>
      </c>
    </row>
    <row r="28" spans="1:15">
      <c r="A28" s="335" t="s">
        <v>5</v>
      </c>
      <c r="B28" s="336" t="s">
        <v>699</v>
      </c>
      <c r="C28" s="336"/>
      <c r="D28" s="337"/>
    </row>
    <row r="29" spans="1:15">
      <c r="A29" s="338" t="s">
        <v>7</v>
      </c>
      <c r="B29" s="46" t="s">
        <v>692</v>
      </c>
      <c r="D29" s="337"/>
    </row>
    <row r="30" spans="1:15">
      <c r="A30" s="338" t="s">
        <v>9</v>
      </c>
      <c r="B30" s="46" t="s">
        <v>702</v>
      </c>
      <c r="D30" s="337"/>
    </row>
    <row r="31" spans="1:15" ht="14.25" customHeight="1">
      <c r="A31" s="338" t="s">
        <v>11</v>
      </c>
      <c r="B31" s="339" t="s">
        <v>703</v>
      </c>
      <c r="C31" s="339"/>
    </row>
    <row r="32" spans="1:15">
      <c r="A32" s="338" t="s">
        <v>13</v>
      </c>
      <c r="B32" s="46" t="s">
        <v>58</v>
      </c>
    </row>
    <row r="33" spans="1:17">
      <c r="A33" s="338" t="s">
        <v>15</v>
      </c>
      <c r="B33" s="46">
        <f>B25</f>
        <v>41.64</v>
      </c>
    </row>
    <row r="34" spans="1:17">
      <c r="A34" s="338" t="s">
        <v>16</v>
      </c>
      <c r="B34" s="46" t="s">
        <v>17</v>
      </c>
    </row>
    <row r="35" spans="1:17">
      <c r="A35" s="338" t="s">
        <v>18</v>
      </c>
      <c r="B35" s="46" t="s">
        <v>37</v>
      </c>
    </row>
    <row r="36" spans="1:17">
      <c r="A36" s="335" t="s">
        <v>19</v>
      </c>
    </row>
    <row r="37" spans="1:17" ht="15">
      <c r="A37" s="335" t="s">
        <v>20</v>
      </c>
      <c r="B37" s="336" t="s">
        <v>21</v>
      </c>
      <c r="C37" s="122" t="s">
        <v>198</v>
      </c>
      <c r="D37" s="336" t="s">
        <v>18</v>
      </c>
      <c r="E37" s="336" t="s">
        <v>22</v>
      </c>
      <c r="F37" s="336" t="s">
        <v>7</v>
      </c>
      <c r="G37" s="336" t="s">
        <v>13</v>
      </c>
      <c r="H37" s="336" t="s">
        <v>16</v>
      </c>
      <c r="I37" s="336" t="s">
        <v>23</v>
      </c>
      <c r="J37" s="336" t="s">
        <v>24</v>
      </c>
      <c r="K37" s="336" t="s">
        <v>25</v>
      </c>
      <c r="L37" s="336" t="s">
        <v>26</v>
      </c>
      <c r="M37" s="336" t="s">
        <v>27</v>
      </c>
      <c r="N37" s="336" t="s">
        <v>28</v>
      </c>
      <c r="O37" s="336" t="s">
        <v>11</v>
      </c>
      <c r="P37" s="336" t="s">
        <v>199</v>
      </c>
    </row>
    <row r="38" spans="1:17" s="340" customFormat="1">
      <c r="A38" s="340" t="s">
        <v>699</v>
      </c>
      <c r="B38" s="340">
        <f>B25</f>
        <v>41.64</v>
      </c>
      <c r="D38" s="340" t="s">
        <v>37</v>
      </c>
      <c r="E38" s="340" t="s">
        <v>2</v>
      </c>
      <c r="F38" s="340" t="s">
        <v>29</v>
      </c>
      <c r="G38" s="340" t="s">
        <v>58</v>
      </c>
      <c r="H38" s="340" t="s">
        <v>30</v>
      </c>
      <c r="I38" s="340">
        <v>1</v>
      </c>
      <c r="J38" s="340">
        <f>B38</f>
        <v>41.64</v>
      </c>
      <c r="K38" s="340" t="s">
        <v>31</v>
      </c>
      <c r="L38" s="340" t="s">
        <v>31</v>
      </c>
      <c r="M38" s="340" t="s">
        <v>31</v>
      </c>
      <c r="N38" s="340" t="s">
        <v>31</v>
      </c>
    </row>
    <row r="39" spans="1:17">
      <c r="A39" s="61" t="s">
        <v>704</v>
      </c>
      <c r="B39" s="342">
        <v>18.399999999999999</v>
      </c>
      <c r="C39" s="342"/>
      <c r="D39" s="46" t="s">
        <v>37</v>
      </c>
      <c r="E39" s="46" t="s">
        <v>40</v>
      </c>
      <c r="F39" s="46" t="s">
        <v>29</v>
      </c>
      <c r="G39" s="32" t="s">
        <v>58</v>
      </c>
      <c r="H39" s="46" t="s">
        <v>33</v>
      </c>
      <c r="I39" s="46">
        <v>2</v>
      </c>
      <c r="J39" s="46">
        <f>LN(B39)</f>
        <v>2.91235066461494</v>
      </c>
      <c r="K39" s="46">
        <v>0.362491379</v>
      </c>
      <c r="L39" s="340" t="s">
        <v>31</v>
      </c>
      <c r="M39" s="340" t="s">
        <v>31</v>
      </c>
      <c r="N39" s="340" t="s">
        <v>31</v>
      </c>
      <c r="O39" s="46" t="s">
        <v>705</v>
      </c>
      <c r="Q39" s="46" t="s">
        <v>202</v>
      </c>
    </row>
    <row r="40" spans="1:17">
      <c r="A40" s="61" t="s">
        <v>704</v>
      </c>
      <c r="B40" s="46">
        <v>12.25741</v>
      </c>
      <c r="D40" s="46" t="s">
        <v>37</v>
      </c>
      <c r="E40" s="46" t="s">
        <v>40</v>
      </c>
      <c r="F40" s="46" t="s">
        <v>29</v>
      </c>
      <c r="G40" s="32" t="s">
        <v>58</v>
      </c>
      <c r="H40" s="46" t="s">
        <v>33</v>
      </c>
      <c r="I40" s="46">
        <v>2</v>
      </c>
      <c r="J40" s="46">
        <f t="shared" ref="J40:J44" si="1">LN(B40)</f>
        <v>2.5061306520728932</v>
      </c>
      <c r="K40" s="46">
        <v>0.362491379</v>
      </c>
      <c r="L40" s="340" t="s">
        <v>31</v>
      </c>
      <c r="M40" s="340" t="s">
        <v>31</v>
      </c>
      <c r="N40" s="340" t="s">
        <v>31</v>
      </c>
      <c r="O40" s="46" t="s">
        <v>706</v>
      </c>
      <c r="Q40" s="46" t="s">
        <v>202</v>
      </c>
    </row>
    <row r="41" spans="1:17">
      <c r="A41" s="32" t="s">
        <v>655</v>
      </c>
      <c r="B41" s="46">
        <v>8.0805000000000007</v>
      </c>
      <c r="D41" s="46" t="s">
        <v>37</v>
      </c>
      <c r="E41" s="46" t="s">
        <v>40</v>
      </c>
      <c r="F41" s="46" t="s">
        <v>29</v>
      </c>
      <c r="G41" s="32" t="s">
        <v>58</v>
      </c>
      <c r="H41" s="46" t="s">
        <v>33</v>
      </c>
      <c r="I41" s="46">
        <v>2</v>
      </c>
      <c r="J41" s="46">
        <f t="shared" si="1"/>
        <v>2.0894537518065612</v>
      </c>
      <c r="K41" s="46">
        <v>0.362491379</v>
      </c>
      <c r="L41" s="340" t="s">
        <v>31</v>
      </c>
      <c r="M41" s="340" t="s">
        <v>31</v>
      </c>
      <c r="N41" s="340" t="s">
        <v>31</v>
      </c>
      <c r="O41" s="46" t="s">
        <v>707</v>
      </c>
      <c r="Q41" s="46" t="s">
        <v>202</v>
      </c>
    </row>
    <row r="42" spans="1:17">
      <c r="A42" s="32" t="s">
        <v>708</v>
      </c>
      <c r="B42" s="46">
        <v>8.0805000000000007</v>
      </c>
      <c r="D42" s="46" t="s">
        <v>37</v>
      </c>
      <c r="E42" s="46" t="s">
        <v>40</v>
      </c>
      <c r="F42" s="46" t="s">
        <v>29</v>
      </c>
      <c r="G42" s="46" t="s">
        <v>58</v>
      </c>
      <c r="H42" s="46" t="s">
        <v>33</v>
      </c>
      <c r="I42" s="46">
        <v>2</v>
      </c>
      <c r="J42" s="46">
        <f t="shared" si="1"/>
        <v>2.0894537518065612</v>
      </c>
      <c r="K42" s="46">
        <v>0.362491379</v>
      </c>
      <c r="L42" s="340" t="s">
        <v>31</v>
      </c>
      <c r="M42" s="340" t="s">
        <v>31</v>
      </c>
      <c r="N42" s="340" t="s">
        <v>31</v>
      </c>
      <c r="O42" s="46" t="s">
        <v>707</v>
      </c>
      <c r="Q42" s="46" t="s">
        <v>202</v>
      </c>
    </row>
    <row r="43" spans="1:17">
      <c r="A43" s="32" t="s">
        <v>709</v>
      </c>
      <c r="B43" s="46">
        <v>2.9081000000000001</v>
      </c>
      <c r="D43" s="46" t="s">
        <v>37</v>
      </c>
      <c r="E43" s="46" t="s">
        <v>40</v>
      </c>
      <c r="F43" s="46" t="s">
        <v>29</v>
      </c>
      <c r="G43" s="46" t="s">
        <v>128</v>
      </c>
      <c r="H43" s="46" t="s">
        <v>33</v>
      </c>
      <c r="I43" s="46">
        <v>2</v>
      </c>
      <c r="J43" s="46">
        <f t="shared" si="1"/>
        <v>1.0674999469754836</v>
      </c>
      <c r="K43" s="46">
        <v>0.362491379</v>
      </c>
      <c r="L43" s="340" t="s">
        <v>31</v>
      </c>
      <c r="M43" s="340" t="s">
        <v>31</v>
      </c>
      <c r="N43" s="340" t="s">
        <v>31</v>
      </c>
      <c r="O43" s="46" t="s">
        <v>710</v>
      </c>
    </row>
    <row r="44" spans="1:17">
      <c r="A44" s="46" t="s">
        <v>711</v>
      </c>
      <c r="B44" s="46">
        <v>2.3637600000000001</v>
      </c>
      <c r="D44" s="46" t="s">
        <v>37</v>
      </c>
      <c r="E44" s="46" t="s">
        <v>40</v>
      </c>
      <c r="F44" s="46" t="s">
        <v>29</v>
      </c>
      <c r="G44" s="46" t="s">
        <v>58</v>
      </c>
      <c r="H44" s="46" t="s">
        <v>33</v>
      </c>
      <c r="I44" s="46">
        <v>2</v>
      </c>
      <c r="J44" s="46">
        <f t="shared" si="1"/>
        <v>0.86025357154741955</v>
      </c>
      <c r="K44" s="46">
        <v>0.362491379</v>
      </c>
      <c r="L44" s="340" t="s">
        <v>31</v>
      </c>
      <c r="M44" s="340" t="s">
        <v>31</v>
      </c>
      <c r="N44" s="340" t="s">
        <v>31</v>
      </c>
      <c r="O44" s="46" t="s">
        <v>712</v>
      </c>
      <c r="Q44" s="46" t="s">
        <v>202</v>
      </c>
    </row>
    <row r="45" spans="1:17" s="345" customFormat="1">
      <c r="A45" s="343" t="s">
        <v>75</v>
      </c>
      <c r="B45" s="344">
        <v>0.52</v>
      </c>
      <c r="C45" s="344"/>
      <c r="D45" s="345" t="s">
        <v>39</v>
      </c>
      <c r="E45" s="345" t="s">
        <v>40</v>
      </c>
      <c r="F45" s="345" t="s">
        <v>29</v>
      </c>
      <c r="G45" s="345" t="s">
        <v>58</v>
      </c>
      <c r="H45" s="345" t="s">
        <v>33</v>
      </c>
      <c r="I45" s="345">
        <v>3</v>
      </c>
      <c r="J45" s="345">
        <f>B45</f>
        <v>0.52</v>
      </c>
      <c r="K45" s="345">
        <v>1.0701761910000001</v>
      </c>
      <c r="L45" s="345" t="s">
        <v>31</v>
      </c>
      <c r="M45" s="345" t="s">
        <v>31</v>
      </c>
      <c r="N45" s="345" t="s">
        <v>31</v>
      </c>
      <c r="O45" s="345" t="s">
        <v>713</v>
      </c>
      <c r="P45" s="345" t="s">
        <v>714</v>
      </c>
      <c r="Q45" s="345" t="s">
        <v>202</v>
      </c>
    </row>
    <row r="46" spans="1:17">
      <c r="A46" s="338" t="s">
        <v>75</v>
      </c>
      <c r="B46" s="346">
        <v>0.05</v>
      </c>
      <c r="C46" s="346"/>
      <c r="D46" s="46" t="s">
        <v>39</v>
      </c>
      <c r="E46" s="46" t="s">
        <v>40</v>
      </c>
      <c r="F46" s="46" t="s">
        <v>29</v>
      </c>
      <c r="G46" s="46" t="s">
        <v>58</v>
      </c>
      <c r="H46" s="46" t="s">
        <v>33</v>
      </c>
      <c r="I46" s="46">
        <v>3</v>
      </c>
      <c r="J46" s="46">
        <f t="shared" ref="J46:J62" si="2">B46</f>
        <v>0.05</v>
      </c>
      <c r="K46" s="46">
        <v>1.0701761910000001</v>
      </c>
      <c r="L46" s="46" t="s">
        <v>31</v>
      </c>
      <c r="M46" s="46" t="s">
        <v>31</v>
      </c>
      <c r="N46" s="46" t="s">
        <v>31</v>
      </c>
      <c r="O46" s="46" t="s">
        <v>715</v>
      </c>
      <c r="P46" s="46" t="s">
        <v>714</v>
      </c>
      <c r="Q46" s="46" t="s">
        <v>202</v>
      </c>
    </row>
    <row r="47" spans="1:17">
      <c r="A47" s="338" t="s">
        <v>75</v>
      </c>
      <c r="B47" s="346">
        <v>2.4E-2</v>
      </c>
      <c r="C47" s="346"/>
      <c r="D47" s="46" t="s">
        <v>39</v>
      </c>
      <c r="E47" s="46" t="s">
        <v>40</v>
      </c>
      <c r="F47" s="46" t="s">
        <v>29</v>
      </c>
      <c r="G47" s="46" t="s">
        <v>58</v>
      </c>
      <c r="H47" s="46" t="s">
        <v>33</v>
      </c>
      <c r="I47" s="46">
        <v>3</v>
      </c>
      <c r="J47" s="46">
        <f t="shared" si="2"/>
        <v>2.4E-2</v>
      </c>
      <c r="K47" s="46">
        <v>1.0701761910000001</v>
      </c>
      <c r="L47" s="46" t="s">
        <v>31</v>
      </c>
      <c r="M47" s="46" t="s">
        <v>31</v>
      </c>
      <c r="N47" s="46" t="s">
        <v>31</v>
      </c>
      <c r="O47" s="46" t="s">
        <v>716</v>
      </c>
      <c r="P47" s="46" t="s">
        <v>714</v>
      </c>
      <c r="Q47" s="46" t="s">
        <v>202</v>
      </c>
    </row>
    <row r="48" spans="1:17">
      <c r="A48" s="338" t="s">
        <v>75</v>
      </c>
      <c r="B48" s="346">
        <v>0.46</v>
      </c>
      <c r="C48" s="346"/>
      <c r="D48" s="46" t="s">
        <v>39</v>
      </c>
      <c r="E48" s="46" t="s">
        <v>40</v>
      </c>
      <c r="F48" s="46" t="s">
        <v>29</v>
      </c>
      <c r="G48" s="46" t="s">
        <v>58</v>
      </c>
      <c r="H48" s="46" t="s">
        <v>33</v>
      </c>
      <c r="I48" s="46">
        <v>3</v>
      </c>
      <c r="J48" s="46">
        <f t="shared" si="2"/>
        <v>0.46</v>
      </c>
      <c r="K48" s="46">
        <v>1.045736435</v>
      </c>
      <c r="L48" s="46" t="s">
        <v>31</v>
      </c>
      <c r="M48" s="46" t="s">
        <v>31</v>
      </c>
      <c r="N48" s="46" t="s">
        <v>31</v>
      </c>
      <c r="O48" s="46" t="s">
        <v>717</v>
      </c>
      <c r="P48" s="46" t="s">
        <v>714</v>
      </c>
      <c r="Q48" s="46" t="s">
        <v>202</v>
      </c>
    </row>
    <row r="49" spans="1:17">
      <c r="A49" s="338" t="s">
        <v>75</v>
      </c>
      <c r="B49" s="346">
        <v>2.4E-2</v>
      </c>
      <c r="C49" s="346"/>
      <c r="D49" s="46" t="s">
        <v>39</v>
      </c>
      <c r="E49" s="46" t="s">
        <v>40</v>
      </c>
      <c r="F49" s="46" t="s">
        <v>29</v>
      </c>
      <c r="G49" s="46" t="s">
        <v>58</v>
      </c>
      <c r="H49" s="46" t="s">
        <v>33</v>
      </c>
      <c r="I49" s="46">
        <v>3</v>
      </c>
      <c r="J49" s="46">
        <f t="shared" si="2"/>
        <v>2.4E-2</v>
      </c>
      <c r="K49" s="46">
        <v>1.075516594</v>
      </c>
      <c r="L49" s="46" t="s">
        <v>31</v>
      </c>
      <c r="M49" s="46" t="s">
        <v>31</v>
      </c>
      <c r="N49" s="46" t="s">
        <v>31</v>
      </c>
      <c r="O49" s="46" t="s">
        <v>718</v>
      </c>
      <c r="P49" s="46" t="s">
        <v>714</v>
      </c>
      <c r="Q49" s="46" t="s">
        <v>202</v>
      </c>
    </row>
    <row r="50" spans="1:17">
      <c r="A50" s="338" t="s">
        <v>75</v>
      </c>
      <c r="B50" s="346">
        <v>0.61299999999999999</v>
      </c>
      <c r="C50" s="346"/>
      <c r="D50" s="46" t="s">
        <v>39</v>
      </c>
      <c r="E50" s="46" t="s">
        <v>40</v>
      </c>
      <c r="F50" s="46" t="s">
        <v>29</v>
      </c>
      <c r="G50" s="46" t="s">
        <v>58</v>
      </c>
      <c r="H50" s="46" t="s">
        <v>33</v>
      </c>
      <c r="I50" s="46">
        <v>3</v>
      </c>
      <c r="J50" s="46">
        <f t="shared" si="2"/>
        <v>0.61299999999999999</v>
      </c>
      <c r="K50" s="46">
        <v>1.058199144</v>
      </c>
      <c r="L50" s="46" t="s">
        <v>31</v>
      </c>
      <c r="M50" s="46" t="s">
        <v>31</v>
      </c>
      <c r="N50" s="46" t="s">
        <v>31</v>
      </c>
      <c r="O50" s="46" t="s">
        <v>719</v>
      </c>
      <c r="P50" s="46" t="s">
        <v>714</v>
      </c>
      <c r="Q50" s="46" t="s">
        <v>202</v>
      </c>
    </row>
    <row r="51" spans="1:17" s="345" customFormat="1">
      <c r="A51" s="347" t="s">
        <v>240</v>
      </c>
      <c r="B51" s="345">
        <v>36.799999999999997</v>
      </c>
      <c r="D51" s="345" t="s">
        <v>37</v>
      </c>
      <c r="E51" s="345" t="s">
        <v>40</v>
      </c>
      <c r="F51" s="345" t="s">
        <v>29</v>
      </c>
      <c r="G51" s="345" t="s">
        <v>128</v>
      </c>
      <c r="H51" s="345" t="s">
        <v>33</v>
      </c>
      <c r="J51" s="348">
        <f t="shared" si="2"/>
        <v>36.799999999999997</v>
      </c>
      <c r="K51" s="345">
        <v>1.0582</v>
      </c>
      <c r="L51" s="345" t="s">
        <v>31</v>
      </c>
      <c r="M51" s="345" t="s">
        <v>31</v>
      </c>
      <c r="N51" s="345" t="s">
        <v>31</v>
      </c>
      <c r="O51" s="345" t="s">
        <v>720</v>
      </c>
      <c r="P51" s="345" t="s">
        <v>714</v>
      </c>
      <c r="Q51" s="46" t="s">
        <v>202</v>
      </c>
    </row>
    <row r="52" spans="1:17">
      <c r="A52" s="349" t="s">
        <v>704</v>
      </c>
      <c r="B52" s="46">
        <f>B51</f>
        <v>36.799999999999997</v>
      </c>
      <c r="D52" s="46" t="s">
        <v>37</v>
      </c>
      <c r="E52" s="46" t="s">
        <v>40</v>
      </c>
      <c r="F52" s="46" t="s">
        <v>29</v>
      </c>
      <c r="G52" s="46" t="s">
        <v>58</v>
      </c>
      <c r="H52" s="46" t="s">
        <v>243</v>
      </c>
      <c r="J52" s="350">
        <f t="shared" si="2"/>
        <v>36.799999999999997</v>
      </c>
      <c r="K52" s="46">
        <f>K51</f>
        <v>1.0582</v>
      </c>
      <c r="L52" s="46" t="s">
        <v>31</v>
      </c>
      <c r="M52" s="46" t="s">
        <v>31</v>
      </c>
      <c r="N52" s="46" t="s">
        <v>31</v>
      </c>
      <c r="O52" s="46" t="s">
        <v>721</v>
      </c>
      <c r="P52" s="46" t="s">
        <v>714</v>
      </c>
      <c r="Q52" s="46" t="s">
        <v>202</v>
      </c>
    </row>
    <row r="53" spans="1:17" s="345" customFormat="1">
      <c r="A53" s="347" t="s">
        <v>240</v>
      </c>
      <c r="B53" s="345">
        <v>0.23200000000000001</v>
      </c>
      <c r="D53" s="345" t="s">
        <v>37</v>
      </c>
      <c r="E53" s="345" t="s">
        <v>40</v>
      </c>
      <c r="F53" s="345" t="s">
        <v>29</v>
      </c>
      <c r="G53" s="345" t="s">
        <v>128</v>
      </c>
      <c r="H53" s="345" t="s">
        <v>33</v>
      </c>
      <c r="J53" s="345">
        <f t="shared" si="2"/>
        <v>0.23200000000000001</v>
      </c>
      <c r="K53" s="345">
        <v>1.1084000000000001</v>
      </c>
      <c r="L53" s="345" t="s">
        <v>31</v>
      </c>
      <c r="M53" s="345" t="s">
        <v>31</v>
      </c>
      <c r="N53" s="345" t="s">
        <v>31</v>
      </c>
      <c r="O53" s="345" t="s">
        <v>722</v>
      </c>
      <c r="P53" s="345" t="s">
        <v>714</v>
      </c>
      <c r="Q53" s="46" t="s">
        <v>202</v>
      </c>
    </row>
    <row r="54" spans="1:17">
      <c r="A54" s="349" t="s">
        <v>704</v>
      </c>
      <c r="B54" s="46">
        <f>B53</f>
        <v>0.23200000000000001</v>
      </c>
      <c r="D54" s="46" t="s">
        <v>37</v>
      </c>
      <c r="E54" s="46" t="s">
        <v>40</v>
      </c>
      <c r="F54" s="46" t="s">
        <v>29</v>
      </c>
      <c r="G54" s="46" t="s">
        <v>58</v>
      </c>
      <c r="H54" s="46" t="s">
        <v>243</v>
      </c>
      <c r="J54" s="46">
        <f t="shared" si="2"/>
        <v>0.23200000000000001</v>
      </c>
      <c r="K54" s="46">
        <f>K53</f>
        <v>1.1084000000000001</v>
      </c>
      <c r="L54" s="46" t="s">
        <v>31</v>
      </c>
      <c r="M54" s="46" t="s">
        <v>31</v>
      </c>
      <c r="N54" s="46" t="s">
        <v>31</v>
      </c>
      <c r="O54" s="46" t="s">
        <v>723</v>
      </c>
      <c r="P54" s="46" t="s">
        <v>714</v>
      </c>
      <c r="Q54" s="46" t="s">
        <v>202</v>
      </c>
    </row>
    <row r="55" spans="1:17" s="345" customFormat="1">
      <c r="A55" s="347" t="s">
        <v>240</v>
      </c>
      <c r="B55" s="345">
        <v>1.42</v>
      </c>
      <c r="D55" s="345" t="s">
        <v>37</v>
      </c>
      <c r="E55" s="345" t="s">
        <v>40</v>
      </c>
      <c r="F55" s="345" t="s">
        <v>29</v>
      </c>
      <c r="G55" s="345" t="s">
        <v>128</v>
      </c>
      <c r="H55" s="345" t="s">
        <v>33</v>
      </c>
      <c r="J55" s="345">
        <f t="shared" si="2"/>
        <v>1.42</v>
      </c>
      <c r="K55" s="345">
        <v>1.1084000000000001</v>
      </c>
      <c r="L55" s="345" t="s">
        <v>31</v>
      </c>
      <c r="M55" s="345" t="s">
        <v>31</v>
      </c>
      <c r="N55" s="345" t="s">
        <v>31</v>
      </c>
      <c r="O55" s="345" t="s">
        <v>724</v>
      </c>
      <c r="P55" s="345" t="s">
        <v>714</v>
      </c>
      <c r="Q55" s="345" t="s">
        <v>202</v>
      </c>
    </row>
    <row r="56" spans="1:17" s="334" customFormat="1">
      <c r="A56" s="351" t="s">
        <v>704</v>
      </c>
      <c r="B56" s="46">
        <f>B55</f>
        <v>1.42</v>
      </c>
      <c r="D56" s="334" t="s">
        <v>37</v>
      </c>
      <c r="E56" s="334" t="s">
        <v>40</v>
      </c>
      <c r="F56" s="334" t="s">
        <v>29</v>
      </c>
      <c r="G56" s="334" t="s">
        <v>58</v>
      </c>
      <c r="H56" s="334" t="s">
        <v>243</v>
      </c>
      <c r="J56" s="334">
        <f t="shared" si="2"/>
        <v>1.42</v>
      </c>
      <c r="K56" s="46">
        <f>K55</f>
        <v>1.1084000000000001</v>
      </c>
      <c r="L56" s="334" t="s">
        <v>31</v>
      </c>
      <c r="M56" s="334" t="s">
        <v>31</v>
      </c>
      <c r="N56" s="334" t="s">
        <v>31</v>
      </c>
      <c r="O56" s="46" t="s">
        <v>725</v>
      </c>
      <c r="P56" s="334" t="s">
        <v>714</v>
      </c>
      <c r="Q56" s="46" t="s">
        <v>202</v>
      </c>
    </row>
    <row r="57" spans="1:17" s="345" customFormat="1">
      <c r="A57" s="347" t="s">
        <v>240</v>
      </c>
      <c r="B57" s="345">
        <v>0.43</v>
      </c>
      <c r="D57" s="345" t="s">
        <v>37</v>
      </c>
      <c r="E57" s="345" t="s">
        <v>40</v>
      </c>
      <c r="F57" s="345" t="s">
        <v>29</v>
      </c>
      <c r="G57" s="345" t="s">
        <v>128</v>
      </c>
      <c r="H57" s="345" t="s">
        <v>33</v>
      </c>
      <c r="J57" s="345">
        <f t="shared" si="2"/>
        <v>0.43</v>
      </c>
      <c r="K57" s="345">
        <v>1.0582</v>
      </c>
      <c r="L57" s="345" t="s">
        <v>31</v>
      </c>
      <c r="M57" s="345" t="s">
        <v>31</v>
      </c>
      <c r="N57" s="345" t="s">
        <v>31</v>
      </c>
      <c r="O57" s="345" t="s">
        <v>726</v>
      </c>
      <c r="P57" s="345" t="s">
        <v>714</v>
      </c>
      <c r="Q57" s="46" t="s">
        <v>202</v>
      </c>
    </row>
    <row r="58" spans="1:17">
      <c r="A58" s="349" t="s">
        <v>704</v>
      </c>
      <c r="B58" s="46">
        <f>B57</f>
        <v>0.43</v>
      </c>
      <c r="D58" s="46" t="s">
        <v>37</v>
      </c>
      <c r="E58" s="46" t="s">
        <v>40</v>
      </c>
      <c r="F58" s="46" t="s">
        <v>29</v>
      </c>
      <c r="G58" s="46" t="s">
        <v>58</v>
      </c>
      <c r="H58" s="46" t="s">
        <v>243</v>
      </c>
      <c r="J58" s="46">
        <f t="shared" si="2"/>
        <v>0.43</v>
      </c>
      <c r="K58" s="46">
        <f>K57</f>
        <v>1.0582</v>
      </c>
      <c r="L58" s="46" t="s">
        <v>31</v>
      </c>
      <c r="M58" s="46" t="s">
        <v>31</v>
      </c>
      <c r="N58" s="46" t="s">
        <v>31</v>
      </c>
      <c r="O58" s="46" t="s">
        <v>727</v>
      </c>
      <c r="P58" s="46" t="s">
        <v>714</v>
      </c>
      <c r="Q58" s="46" t="s">
        <v>202</v>
      </c>
    </row>
    <row r="59" spans="1:17" s="345" customFormat="1">
      <c r="A59" s="352" t="s">
        <v>424</v>
      </c>
      <c r="B59" s="345">
        <v>7.6999999999999999E-2</v>
      </c>
      <c r="C59" s="345" t="s">
        <v>425</v>
      </c>
      <c r="D59" s="345" t="s">
        <v>37</v>
      </c>
      <c r="E59" s="345" t="s">
        <v>40</v>
      </c>
      <c r="F59" s="345" t="s">
        <v>29</v>
      </c>
      <c r="G59" s="345" t="s">
        <v>128</v>
      </c>
      <c r="H59" s="345" t="s">
        <v>33</v>
      </c>
      <c r="J59" s="345">
        <f t="shared" si="2"/>
        <v>7.6999999999999999E-2</v>
      </c>
      <c r="K59" s="345">
        <v>1.1084000000000001</v>
      </c>
      <c r="L59" s="345" t="s">
        <v>31</v>
      </c>
      <c r="M59" s="345" t="s">
        <v>31</v>
      </c>
      <c r="N59" s="345" t="s">
        <v>31</v>
      </c>
      <c r="O59" s="345" t="s">
        <v>728</v>
      </c>
      <c r="P59" s="345" t="s">
        <v>714</v>
      </c>
      <c r="Q59" s="345" t="s">
        <v>202</v>
      </c>
    </row>
    <row r="60" spans="1:17">
      <c r="A60" s="353" t="s">
        <v>655</v>
      </c>
      <c r="B60" s="46">
        <f>B59</f>
        <v>7.6999999999999999E-2</v>
      </c>
      <c r="D60" s="46" t="s">
        <v>37</v>
      </c>
      <c r="E60" s="46" t="s">
        <v>40</v>
      </c>
      <c r="F60" s="46" t="s">
        <v>29</v>
      </c>
      <c r="G60" s="32" t="s">
        <v>58</v>
      </c>
      <c r="H60" s="46" t="s">
        <v>243</v>
      </c>
      <c r="J60" s="46">
        <f t="shared" si="2"/>
        <v>7.6999999999999999E-2</v>
      </c>
      <c r="K60" s="46">
        <f>K59</f>
        <v>1.1084000000000001</v>
      </c>
      <c r="L60" s="46" t="s">
        <v>31</v>
      </c>
      <c r="M60" s="46" t="s">
        <v>31</v>
      </c>
      <c r="N60" s="46" t="s">
        <v>31</v>
      </c>
      <c r="O60" s="46" t="s">
        <v>729</v>
      </c>
      <c r="P60" s="46" t="s">
        <v>714</v>
      </c>
      <c r="Q60" s="46" t="s">
        <v>202</v>
      </c>
    </row>
    <row r="61" spans="1:17" s="345" customFormat="1">
      <c r="A61" s="347" t="s">
        <v>424</v>
      </c>
      <c r="B61" s="345">
        <v>3.5999999999999997E-2</v>
      </c>
      <c r="C61" s="345" t="s">
        <v>425</v>
      </c>
      <c r="D61" s="345" t="s">
        <v>37</v>
      </c>
      <c r="E61" s="345" t="s">
        <v>40</v>
      </c>
      <c r="F61" s="345" t="s">
        <v>29</v>
      </c>
      <c r="G61" s="345" t="s">
        <v>128</v>
      </c>
      <c r="H61" s="345" t="s">
        <v>33</v>
      </c>
      <c r="J61" s="345">
        <f t="shared" si="2"/>
        <v>3.5999999999999997E-2</v>
      </c>
      <c r="K61" s="345">
        <v>1.0702</v>
      </c>
      <c r="L61" s="345" t="s">
        <v>31</v>
      </c>
      <c r="M61" s="345" t="s">
        <v>31</v>
      </c>
      <c r="N61" s="345" t="s">
        <v>31</v>
      </c>
      <c r="O61" s="345" t="s">
        <v>730</v>
      </c>
      <c r="P61" s="345" t="s">
        <v>714</v>
      </c>
      <c r="Q61" s="46" t="s">
        <v>202</v>
      </c>
    </row>
    <row r="62" spans="1:17">
      <c r="A62" s="354" t="s">
        <v>655</v>
      </c>
      <c r="B62" s="46">
        <f>B61</f>
        <v>3.5999999999999997E-2</v>
      </c>
      <c r="D62" s="46" t="s">
        <v>37</v>
      </c>
      <c r="E62" s="46" t="s">
        <v>40</v>
      </c>
      <c r="F62" s="46" t="s">
        <v>29</v>
      </c>
      <c r="G62" s="32" t="s">
        <v>58</v>
      </c>
      <c r="H62" s="46" t="s">
        <v>243</v>
      </c>
      <c r="J62" s="46">
        <f t="shared" si="2"/>
        <v>3.5999999999999997E-2</v>
      </c>
      <c r="K62" s="46">
        <f>K61</f>
        <v>1.0702</v>
      </c>
      <c r="L62" s="46" t="s">
        <v>31</v>
      </c>
      <c r="M62" s="46" t="s">
        <v>31</v>
      </c>
      <c r="N62" s="46" t="s">
        <v>31</v>
      </c>
      <c r="O62" s="46" t="s">
        <v>731</v>
      </c>
      <c r="P62" s="46" t="s">
        <v>714</v>
      </c>
      <c r="Q62" s="46" t="s">
        <v>202</v>
      </c>
    </row>
    <row r="63" spans="1:17" s="356" customFormat="1" ht="13.5" thickBot="1">
      <c r="A63" s="355" t="s">
        <v>732</v>
      </c>
      <c r="B63" s="356">
        <v>2.5999999999999999E-2</v>
      </c>
      <c r="D63" s="356" t="s">
        <v>37</v>
      </c>
      <c r="E63" s="356" t="s">
        <v>43</v>
      </c>
      <c r="F63" s="356" t="s">
        <v>44</v>
      </c>
      <c r="G63" s="356" t="s">
        <v>29</v>
      </c>
      <c r="H63" s="356" t="s">
        <v>45</v>
      </c>
      <c r="J63" s="356">
        <f>B63</f>
        <v>2.5999999999999999E-2</v>
      </c>
      <c r="K63" s="356">
        <v>1.4302999999999999</v>
      </c>
      <c r="L63" s="356" t="s">
        <v>31</v>
      </c>
      <c r="M63" s="356" t="s">
        <v>31</v>
      </c>
      <c r="N63" s="356" t="s">
        <v>31</v>
      </c>
      <c r="O63" s="356" t="s">
        <v>733</v>
      </c>
      <c r="P63" s="356" t="s">
        <v>714</v>
      </c>
      <c r="Q63" s="356" t="s">
        <v>202</v>
      </c>
    </row>
    <row r="64" spans="1:17">
      <c r="A64" s="335" t="s">
        <v>5</v>
      </c>
      <c r="B64" s="336" t="s">
        <v>700</v>
      </c>
      <c r="C64" s="336"/>
      <c r="D64" s="337"/>
    </row>
    <row r="65" spans="1:16">
      <c r="A65" s="338" t="s">
        <v>7</v>
      </c>
      <c r="B65" s="46" t="s">
        <v>692</v>
      </c>
      <c r="D65" s="337"/>
    </row>
    <row r="66" spans="1:16">
      <c r="A66" s="338" t="s">
        <v>9</v>
      </c>
      <c r="B66" s="46" t="s">
        <v>734</v>
      </c>
      <c r="D66" s="337"/>
    </row>
    <row r="67" spans="1:16" ht="14.25" customHeight="1">
      <c r="A67" s="338" t="s">
        <v>11</v>
      </c>
      <c r="B67" s="339" t="s">
        <v>735</v>
      </c>
      <c r="C67" s="339"/>
    </row>
    <row r="68" spans="1:16">
      <c r="A68" s="338" t="s">
        <v>13</v>
      </c>
      <c r="B68" s="46" t="s">
        <v>58</v>
      </c>
    </row>
    <row r="69" spans="1:16">
      <c r="A69" s="338" t="s">
        <v>15</v>
      </c>
      <c r="B69" s="46">
        <f>B26</f>
        <v>5.19</v>
      </c>
    </row>
    <row r="70" spans="1:16">
      <c r="A70" s="338" t="s">
        <v>16</v>
      </c>
      <c r="B70" s="46" t="s">
        <v>17</v>
      </c>
    </row>
    <row r="71" spans="1:16">
      <c r="A71" s="338" t="s">
        <v>18</v>
      </c>
      <c r="B71" s="46" t="s">
        <v>37</v>
      </c>
    </row>
    <row r="72" spans="1:16">
      <c r="A72" s="335" t="s">
        <v>19</v>
      </c>
    </row>
    <row r="73" spans="1:16" ht="15">
      <c r="A73" s="335" t="s">
        <v>20</v>
      </c>
      <c r="B73" s="336" t="s">
        <v>21</v>
      </c>
      <c r="C73" s="122" t="s">
        <v>198</v>
      </c>
      <c r="D73" s="336" t="s">
        <v>18</v>
      </c>
      <c r="E73" s="336" t="s">
        <v>22</v>
      </c>
      <c r="F73" s="336" t="s">
        <v>7</v>
      </c>
      <c r="G73" s="336" t="s">
        <v>13</v>
      </c>
      <c r="H73" s="336" t="s">
        <v>16</v>
      </c>
      <c r="I73" s="336" t="s">
        <v>23</v>
      </c>
      <c r="J73" s="336" t="s">
        <v>24</v>
      </c>
      <c r="K73" s="336" t="s">
        <v>25</v>
      </c>
      <c r="L73" s="336" t="s">
        <v>26</v>
      </c>
      <c r="M73" s="336" t="s">
        <v>27</v>
      </c>
      <c r="N73" s="336" t="s">
        <v>28</v>
      </c>
      <c r="O73" s="336" t="s">
        <v>11</v>
      </c>
      <c r="P73" s="336" t="s">
        <v>199</v>
      </c>
    </row>
    <row r="74" spans="1:16" s="340" customFormat="1">
      <c r="A74" s="340" t="s">
        <v>700</v>
      </c>
      <c r="B74" s="340">
        <f>B69</f>
        <v>5.19</v>
      </c>
      <c r="D74" s="340" t="s">
        <v>37</v>
      </c>
      <c r="E74" s="340" t="s">
        <v>2</v>
      </c>
      <c r="F74" s="340" t="s">
        <v>29</v>
      </c>
      <c r="G74" s="340" t="s">
        <v>58</v>
      </c>
      <c r="H74" s="340" t="s">
        <v>30</v>
      </c>
      <c r="I74" s="340">
        <v>1</v>
      </c>
      <c r="J74" s="340">
        <f>B74</f>
        <v>5.19</v>
      </c>
      <c r="K74" s="340" t="s">
        <v>31</v>
      </c>
      <c r="L74" s="340" t="s">
        <v>31</v>
      </c>
      <c r="M74" s="340" t="s">
        <v>31</v>
      </c>
      <c r="N74" s="340" t="s">
        <v>31</v>
      </c>
    </row>
    <row r="75" spans="1:16" ht="12.75" customHeight="1">
      <c r="A75" s="61" t="s">
        <v>704</v>
      </c>
      <c r="B75" s="46">
        <v>1.5314897059999999</v>
      </c>
      <c r="D75" s="46" t="s">
        <v>37</v>
      </c>
      <c r="E75" s="46" t="s">
        <v>40</v>
      </c>
      <c r="F75" s="46" t="s">
        <v>29</v>
      </c>
      <c r="G75" s="32" t="s">
        <v>58</v>
      </c>
      <c r="H75" s="46" t="s">
        <v>33</v>
      </c>
      <c r="I75" s="46">
        <v>2</v>
      </c>
      <c r="J75" s="46">
        <f>LN(B75)</f>
        <v>0.42624092575324862</v>
      </c>
      <c r="K75" s="46">
        <v>0.34842502800000003</v>
      </c>
      <c r="L75" s="46" t="s">
        <v>31</v>
      </c>
      <c r="M75" s="46" t="s">
        <v>31</v>
      </c>
      <c r="N75" s="46" t="s">
        <v>31</v>
      </c>
      <c r="O75" s="339" t="s">
        <v>736</v>
      </c>
      <c r="P75" s="46" t="s">
        <v>202</v>
      </c>
    </row>
    <row r="76" spans="1:16">
      <c r="A76" s="46" t="s">
        <v>329</v>
      </c>
      <c r="B76" s="46">
        <v>0.68</v>
      </c>
      <c r="D76" s="46" t="s">
        <v>37</v>
      </c>
      <c r="E76" s="46" t="s">
        <v>40</v>
      </c>
      <c r="F76" s="46" t="s">
        <v>29</v>
      </c>
      <c r="G76" s="32" t="s">
        <v>58</v>
      </c>
      <c r="H76" s="46" t="s">
        <v>33</v>
      </c>
      <c r="I76" s="46">
        <v>2</v>
      </c>
      <c r="J76" s="46">
        <f>LN(B76)</f>
        <v>-0.38566248081198462</v>
      </c>
      <c r="K76" s="46">
        <v>0.34842502800000003</v>
      </c>
      <c r="L76" s="46" t="s">
        <v>31</v>
      </c>
      <c r="M76" s="46" t="s">
        <v>31</v>
      </c>
      <c r="N76" s="46" t="s">
        <v>31</v>
      </c>
      <c r="O76" s="46" t="s">
        <v>737</v>
      </c>
      <c r="P76" s="46" t="s">
        <v>202</v>
      </c>
    </row>
    <row r="77" spans="1:16">
      <c r="A77" s="338" t="s">
        <v>75</v>
      </c>
      <c r="B77" s="46">
        <v>0.27700000000000002</v>
      </c>
      <c r="D77" s="46" t="s">
        <v>39</v>
      </c>
      <c r="E77" s="46" t="s">
        <v>40</v>
      </c>
      <c r="F77" s="46" t="s">
        <v>29</v>
      </c>
      <c r="G77" s="32" t="s">
        <v>58</v>
      </c>
      <c r="H77" s="46" t="s">
        <v>33</v>
      </c>
      <c r="I77" s="46">
        <v>3</v>
      </c>
      <c r="J77" s="46">
        <f>B77</f>
        <v>0.27700000000000002</v>
      </c>
      <c r="K77" s="46">
        <v>1.2351000000000001</v>
      </c>
      <c r="L77" s="46" t="s">
        <v>31</v>
      </c>
      <c r="M77" s="46" t="s">
        <v>31</v>
      </c>
      <c r="N77" s="46" t="s">
        <v>31</v>
      </c>
      <c r="O77" s="46" t="s">
        <v>738</v>
      </c>
      <c r="P77" s="46" t="s">
        <v>714</v>
      </c>
    </row>
    <row r="78" spans="1:16">
      <c r="A78" s="338" t="s">
        <v>75</v>
      </c>
      <c r="B78" s="46">
        <v>6.9000000000000006E-2</v>
      </c>
      <c r="D78" s="46" t="s">
        <v>39</v>
      </c>
      <c r="E78" s="46" t="s">
        <v>40</v>
      </c>
      <c r="F78" s="46" t="s">
        <v>29</v>
      </c>
      <c r="G78" s="32" t="s">
        <v>58</v>
      </c>
      <c r="H78" s="46" t="s">
        <v>33</v>
      </c>
      <c r="I78" s="46">
        <v>3</v>
      </c>
      <c r="J78" s="46">
        <f>B78</f>
        <v>6.9000000000000006E-2</v>
      </c>
      <c r="K78" s="46">
        <v>1.2310000000000001</v>
      </c>
      <c r="L78" s="46" t="s">
        <v>31</v>
      </c>
      <c r="M78" s="46" t="s">
        <v>31</v>
      </c>
      <c r="N78" s="46" t="s">
        <v>31</v>
      </c>
      <c r="O78" s="46" t="s">
        <v>739</v>
      </c>
      <c r="P78" s="46" t="s">
        <v>714</v>
      </c>
    </row>
    <row r="79" spans="1:16">
      <c r="A79" s="46" t="s">
        <v>740</v>
      </c>
      <c r="B79" s="46">
        <v>4.4999999999999998E-2</v>
      </c>
      <c r="D79" s="46" t="s">
        <v>37</v>
      </c>
      <c r="E79" s="46" t="s">
        <v>2</v>
      </c>
      <c r="F79" s="46" t="s">
        <v>29</v>
      </c>
      <c r="G79" s="32" t="s">
        <v>741</v>
      </c>
      <c r="H79" s="46" t="s">
        <v>33</v>
      </c>
      <c r="I79" s="46">
        <v>3</v>
      </c>
      <c r="J79" s="46">
        <f>B79</f>
        <v>4.4999999999999998E-2</v>
      </c>
      <c r="K79" s="46">
        <v>1.0582</v>
      </c>
      <c r="L79" s="46" t="s">
        <v>31</v>
      </c>
      <c r="M79" s="46" t="s">
        <v>31</v>
      </c>
      <c r="N79" s="46" t="s">
        <v>31</v>
      </c>
      <c r="O79" s="46" t="s">
        <v>742</v>
      </c>
      <c r="P79" s="46" t="s">
        <v>714</v>
      </c>
    </row>
    <row r="80" spans="1:16" s="341" customFormat="1" ht="13.5" thickBot="1">
      <c r="A80" s="341" t="s">
        <v>740</v>
      </c>
      <c r="B80" s="341">
        <v>4.4999999999999998E-2</v>
      </c>
      <c r="D80" s="341" t="s">
        <v>37</v>
      </c>
      <c r="E80" s="341" t="s">
        <v>2</v>
      </c>
      <c r="F80" s="341" t="s">
        <v>29</v>
      </c>
      <c r="G80" s="357" t="s">
        <v>741</v>
      </c>
      <c r="H80" s="341" t="s">
        <v>33</v>
      </c>
      <c r="I80" s="341">
        <v>3</v>
      </c>
      <c r="J80" s="341">
        <f>B80</f>
        <v>4.4999999999999998E-2</v>
      </c>
      <c r="K80" s="341">
        <v>1.2351000000000001</v>
      </c>
      <c r="L80" s="341" t="s">
        <v>31</v>
      </c>
      <c r="M80" s="341" t="s">
        <v>31</v>
      </c>
      <c r="N80" s="341" t="s">
        <v>31</v>
      </c>
      <c r="O80" s="341" t="s">
        <v>743</v>
      </c>
      <c r="P80" s="46" t="s">
        <v>714</v>
      </c>
    </row>
    <row r="81" spans="1:16">
      <c r="A81" s="335" t="s">
        <v>5</v>
      </c>
      <c r="B81" s="336" t="s">
        <v>701</v>
      </c>
      <c r="C81" s="336"/>
      <c r="D81" s="337"/>
    </row>
    <row r="82" spans="1:16">
      <c r="A82" s="338" t="s">
        <v>7</v>
      </c>
      <c r="B82" s="46" t="s">
        <v>692</v>
      </c>
      <c r="D82" s="337"/>
    </row>
    <row r="83" spans="1:16">
      <c r="A83" s="338" t="s">
        <v>9</v>
      </c>
      <c r="B83" s="46" t="s">
        <v>744</v>
      </c>
      <c r="D83" s="337"/>
    </row>
    <row r="84" spans="1:16" ht="14.25" customHeight="1">
      <c r="A84" s="338" t="s">
        <v>11</v>
      </c>
      <c r="B84" s="339" t="s">
        <v>745</v>
      </c>
      <c r="C84" s="339"/>
    </row>
    <row r="85" spans="1:16">
      <c r="A85" s="338" t="s">
        <v>13</v>
      </c>
      <c r="B85" s="46" t="s">
        <v>58</v>
      </c>
    </row>
    <row r="86" spans="1:16">
      <c r="A86" s="338" t="s">
        <v>15</v>
      </c>
      <c r="B86" s="46">
        <f>B27</f>
        <v>19.71</v>
      </c>
    </row>
    <row r="87" spans="1:16">
      <c r="A87" s="338" t="s">
        <v>16</v>
      </c>
      <c r="B87" s="46" t="s">
        <v>17</v>
      </c>
    </row>
    <row r="88" spans="1:16">
      <c r="A88" s="338" t="s">
        <v>18</v>
      </c>
      <c r="B88" s="46" t="s">
        <v>37</v>
      </c>
    </row>
    <row r="89" spans="1:16">
      <c r="A89" s="335" t="s">
        <v>19</v>
      </c>
    </row>
    <row r="90" spans="1:16" ht="15">
      <c r="A90" s="335" t="s">
        <v>20</v>
      </c>
      <c r="B90" s="336" t="s">
        <v>21</v>
      </c>
      <c r="C90" s="122" t="s">
        <v>198</v>
      </c>
      <c r="D90" s="336" t="s">
        <v>18</v>
      </c>
      <c r="E90" s="336" t="s">
        <v>22</v>
      </c>
      <c r="F90" s="336" t="s">
        <v>7</v>
      </c>
      <c r="G90" s="336" t="s">
        <v>13</v>
      </c>
      <c r="H90" s="336" t="s">
        <v>16</v>
      </c>
      <c r="I90" s="336" t="s">
        <v>23</v>
      </c>
      <c r="J90" s="336" t="s">
        <v>24</v>
      </c>
      <c r="K90" s="336" t="s">
        <v>25</v>
      </c>
      <c r="L90" s="336" t="s">
        <v>26</v>
      </c>
      <c r="M90" s="336" t="s">
        <v>27</v>
      </c>
      <c r="N90" s="336" t="s">
        <v>28</v>
      </c>
      <c r="O90" s="336" t="s">
        <v>11</v>
      </c>
      <c r="P90" s="336" t="s">
        <v>199</v>
      </c>
    </row>
    <row r="91" spans="1:16" s="340" customFormat="1">
      <c r="A91" s="340" t="s">
        <v>701</v>
      </c>
      <c r="B91" s="340">
        <f>B27</f>
        <v>19.71</v>
      </c>
      <c r="D91" s="340" t="s">
        <v>37</v>
      </c>
      <c r="E91" s="340" t="s">
        <v>2</v>
      </c>
      <c r="F91" s="340" t="s">
        <v>29</v>
      </c>
      <c r="G91" s="340" t="s">
        <v>58</v>
      </c>
      <c r="H91" s="340" t="s">
        <v>30</v>
      </c>
      <c r="I91" s="340">
        <v>1</v>
      </c>
      <c r="J91" s="340">
        <f>B91</f>
        <v>19.71</v>
      </c>
      <c r="K91" s="340" t="s">
        <v>31</v>
      </c>
      <c r="L91" s="340" t="s">
        <v>31</v>
      </c>
      <c r="M91" s="340" t="s">
        <v>31</v>
      </c>
      <c r="N91" s="340" t="s">
        <v>31</v>
      </c>
    </row>
    <row r="92" spans="1:16" ht="12.75" customHeight="1">
      <c r="A92" s="61" t="s">
        <v>704</v>
      </c>
      <c r="B92" s="46">
        <v>7.15</v>
      </c>
      <c r="D92" s="46" t="s">
        <v>37</v>
      </c>
      <c r="E92" s="46" t="s">
        <v>40</v>
      </c>
      <c r="F92" s="46" t="s">
        <v>29</v>
      </c>
      <c r="G92" s="32" t="s">
        <v>58</v>
      </c>
      <c r="H92" s="46" t="s">
        <v>33</v>
      </c>
      <c r="I92" s="46">
        <v>2</v>
      </c>
      <c r="J92" s="46">
        <f>LN(B92)</f>
        <v>1.9671123567059163</v>
      </c>
      <c r="K92" s="46">
        <v>0.34842502800000003</v>
      </c>
      <c r="L92" s="46" t="s">
        <v>31</v>
      </c>
      <c r="M92" s="46" t="s">
        <v>31</v>
      </c>
      <c r="N92" s="46" t="s">
        <v>31</v>
      </c>
      <c r="O92" s="339" t="s">
        <v>746</v>
      </c>
      <c r="P92" s="46" t="s">
        <v>202</v>
      </c>
    </row>
    <row r="93" spans="1:16" ht="12" customHeight="1">
      <c r="A93" s="46" t="s">
        <v>329</v>
      </c>
      <c r="B93" s="46">
        <v>12.56</v>
      </c>
      <c r="D93" s="46" t="s">
        <v>37</v>
      </c>
      <c r="E93" s="46" t="s">
        <v>40</v>
      </c>
      <c r="F93" s="46" t="s">
        <v>29</v>
      </c>
      <c r="G93" s="32" t="s">
        <v>58</v>
      </c>
      <c r="H93" s="46" t="s">
        <v>33</v>
      </c>
      <c r="I93" s="46">
        <v>2</v>
      </c>
      <c r="J93" s="46">
        <f>LN(B93)</f>
        <v>2.5305171610400525</v>
      </c>
      <c r="K93" s="46">
        <v>0.34842502800000003</v>
      </c>
      <c r="L93" s="46" t="s">
        <v>31</v>
      </c>
      <c r="M93" s="46" t="s">
        <v>31</v>
      </c>
      <c r="N93" s="46" t="s">
        <v>31</v>
      </c>
      <c r="O93" s="339" t="s">
        <v>747</v>
      </c>
      <c r="P93" s="46" t="s">
        <v>202</v>
      </c>
    </row>
    <row r="94" spans="1:16">
      <c r="A94" s="338" t="s">
        <v>75</v>
      </c>
      <c r="B94" s="46">
        <v>3.1869999999999998</v>
      </c>
      <c r="D94" s="46" t="s">
        <v>39</v>
      </c>
      <c r="E94" s="46" t="s">
        <v>40</v>
      </c>
      <c r="F94" s="46" t="s">
        <v>29</v>
      </c>
      <c r="G94" s="32" t="s">
        <v>58</v>
      </c>
      <c r="H94" s="46" t="s">
        <v>33</v>
      </c>
      <c r="I94" s="46">
        <v>3</v>
      </c>
      <c r="J94" s="46">
        <f>B94</f>
        <v>3.1869999999999998</v>
      </c>
      <c r="K94" s="46">
        <v>1.0747746650000001</v>
      </c>
      <c r="L94" s="46" t="s">
        <v>31</v>
      </c>
      <c r="M94" s="46" t="s">
        <v>31</v>
      </c>
      <c r="N94" s="46" t="s">
        <v>31</v>
      </c>
      <c r="O94" s="46" t="s">
        <v>748</v>
      </c>
      <c r="P94" s="46" t="s">
        <v>714</v>
      </c>
    </row>
    <row r="95" spans="1:16">
      <c r="A95" s="338" t="s">
        <v>75</v>
      </c>
      <c r="B95" s="46">
        <v>5.0000000000000001E-3</v>
      </c>
      <c r="D95" s="46" t="s">
        <v>39</v>
      </c>
      <c r="E95" s="46" t="s">
        <v>40</v>
      </c>
      <c r="F95" s="46" t="s">
        <v>29</v>
      </c>
      <c r="G95" s="32" t="s">
        <v>58</v>
      </c>
      <c r="H95" s="46" t="s">
        <v>33</v>
      </c>
      <c r="I95" s="46">
        <v>3</v>
      </c>
      <c r="J95" s="46">
        <f t="shared" ref="J95:J109" si="3">B95</f>
        <v>5.0000000000000001E-3</v>
      </c>
      <c r="K95" s="46">
        <v>1.058199144</v>
      </c>
      <c r="L95" s="46" t="s">
        <v>31</v>
      </c>
      <c r="M95" s="46" t="s">
        <v>31</v>
      </c>
      <c r="N95" s="46" t="s">
        <v>31</v>
      </c>
      <c r="O95" s="46" t="s">
        <v>749</v>
      </c>
      <c r="P95" s="46" t="s">
        <v>714</v>
      </c>
    </row>
    <row r="96" spans="1:16">
      <c r="A96" s="338" t="s">
        <v>75</v>
      </c>
      <c r="B96" s="46">
        <v>4.2000000000000003E-2</v>
      </c>
      <c r="D96" s="46" t="s">
        <v>39</v>
      </c>
      <c r="E96" s="46" t="s">
        <v>40</v>
      </c>
      <c r="F96" s="46" t="s">
        <v>29</v>
      </c>
      <c r="G96" s="32" t="s">
        <v>58</v>
      </c>
      <c r="H96" s="46" t="s">
        <v>33</v>
      </c>
      <c r="I96" s="46">
        <v>3</v>
      </c>
      <c r="J96" s="46">
        <f t="shared" si="3"/>
        <v>4.2000000000000003E-2</v>
      </c>
      <c r="K96" s="46">
        <v>1.0701761910000001</v>
      </c>
      <c r="L96" s="46" t="s">
        <v>31</v>
      </c>
      <c r="M96" s="46" t="s">
        <v>31</v>
      </c>
      <c r="N96" s="46" t="s">
        <v>31</v>
      </c>
      <c r="O96" s="46" t="s">
        <v>750</v>
      </c>
      <c r="P96" s="46" t="s">
        <v>714</v>
      </c>
    </row>
    <row r="97" spans="1:16">
      <c r="A97" s="338" t="s">
        <v>75</v>
      </c>
      <c r="B97" s="46">
        <v>8.0000000000000002E-3</v>
      </c>
      <c r="D97" s="46" t="s">
        <v>39</v>
      </c>
      <c r="E97" s="46" t="s">
        <v>40</v>
      </c>
      <c r="F97" s="46" t="s">
        <v>29</v>
      </c>
      <c r="G97" s="32" t="s">
        <v>58</v>
      </c>
      <c r="H97" s="46" t="s">
        <v>33</v>
      </c>
      <c r="I97" s="46">
        <v>3</v>
      </c>
      <c r="J97" s="46">
        <f t="shared" si="3"/>
        <v>8.0000000000000002E-3</v>
      </c>
      <c r="K97" s="46">
        <v>1.0701761910000001</v>
      </c>
      <c r="L97" s="46" t="s">
        <v>31</v>
      </c>
      <c r="M97" s="46" t="s">
        <v>31</v>
      </c>
      <c r="N97" s="46" t="s">
        <v>31</v>
      </c>
      <c r="O97" s="46" t="s">
        <v>751</v>
      </c>
      <c r="P97" s="46" t="s">
        <v>714</v>
      </c>
    </row>
    <row r="98" spans="1:16">
      <c r="A98" s="338" t="s">
        <v>75</v>
      </c>
      <c r="B98" s="46">
        <v>2.1</v>
      </c>
      <c r="D98" s="46" t="s">
        <v>39</v>
      </c>
      <c r="E98" s="46" t="s">
        <v>40</v>
      </c>
      <c r="F98" s="46" t="s">
        <v>29</v>
      </c>
      <c r="G98" s="32" t="s">
        <v>58</v>
      </c>
      <c r="H98" s="46" t="s">
        <v>33</v>
      </c>
      <c r="I98" s="46">
        <v>3</v>
      </c>
      <c r="J98" s="46">
        <f t="shared" si="3"/>
        <v>2.1</v>
      </c>
      <c r="K98" s="46">
        <v>1.058199144</v>
      </c>
      <c r="L98" s="46" t="s">
        <v>31</v>
      </c>
      <c r="M98" s="46" t="s">
        <v>31</v>
      </c>
      <c r="N98" s="46" t="s">
        <v>31</v>
      </c>
      <c r="O98" s="46" t="s">
        <v>752</v>
      </c>
      <c r="P98" s="46" t="s">
        <v>714</v>
      </c>
    </row>
    <row r="99" spans="1:16">
      <c r="A99" s="338" t="s">
        <v>75</v>
      </c>
      <c r="B99" s="46">
        <v>0.87</v>
      </c>
      <c r="D99" s="46" t="s">
        <v>39</v>
      </c>
      <c r="E99" s="46" t="s">
        <v>40</v>
      </c>
      <c r="F99" s="46" t="s">
        <v>29</v>
      </c>
      <c r="G99" s="32" t="s">
        <v>58</v>
      </c>
      <c r="H99" s="46" t="s">
        <v>33</v>
      </c>
      <c r="I99" s="46">
        <v>3</v>
      </c>
      <c r="J99" s="46">
        <f t="shared" si="3"/>
        <v>0.87</v>
      </c>
      <c r="K99" s="46">
        <v>1.0701761910000001</v>
      </c>
      <c r="L99" s="46" t="s">
        <v>31</v>
      </c>
      <c r="M99" s="46" t="s">
        <v>31</v>
      </c>
      <c r="N99" s="46" t="s">
        <v>31</v>
      </c>
      <c r="O99" s="46" t="s">
        <v>753</v>
      </c>
      <c r="P99" s="46" t="s">
        <v>714</v>
      </c>
    </row>
    <row r="100" spans="1:16">
      <c r="A100" s="338" t="s">
        <v>75</v>
      </c>
      <c r="B100" s="46">
        <v>1.29</v>
      </c>
      <c r="D100" s="46" t="s">
        <v>39</v>
      </c>
      <c r="E100" s="46" t="s">
        <v>40</v>
      </c>
      <c r="F100" s="46" t="s">
        <v>29</v>
      </c>
      <c r="G100" s="32" t="s">
        <v>58</v>
      </c>
      <c r="H100" s="46" t="s">
        <v>33</v>
      </c>
      <c r="I100" s="46">
        <v>3</v>
      </c>
      <c r="J100" s="46">
        <f t="shared" si="3"/>
        <v>1.29</v>
      </c>
      <c r="K100" s="46">
        <v>1.058199144</v>
      </c>
      <c r="L100" s="46" t="s">
        <v>31</v>
      </c>
      <c r="M100" s="46" t="s">
        <v>31</v>
      </c>
      <c r="N100" s="46" t="s">
        <v>31</v>
      </c>
      <c r="O100" s="46" t="s">
        <v>754</v>
      </c>
      <c r="P100" s="46" t="s">
        <v>714</v>
      </c>
    </row>
    <row r="101" spans="1:16">
      <c r="A101" s="338" t="s">
        <v>75</v>
      </c>
      <c r="B101" s="46">
        <v>3.6</v>
      </c>
      <c r="D101" s="46" t="s">
        <v>39</v>
      </c>
      <c r="E101" s="46" t="s">
        <v>40</v>
      </c>
      <c r="F101" s="46" t="s">
        <v>29</v>
      </c>
      <c r="G101" s="32" t="s">
        <v>58</v>
      </c>
      <c r="H101" s="46" t="s">
        <v>33</v>
      </c>
      <c r="I101" s="46">
        <v>2</v>
      </c>
      <c r="J101" s="46">
        <f t="shared" si="3"/>
        <v>3.6</v>
      </c>
      <c r="K101" s="46">
        <v>1.058199144</v>
      </c>
      <c r="L101" s="46" t="s">
        <v>31</v>
      </c>
      <c r="M101" s="46" t="s">
        <v>31</v>
      </c>
      <c r="N101" s="46" t="s">
        <v>31</v>
      </c>
      <c r="O101" s="46" t="s">
        <v>755</v>
      </c>
    </row>
    <row r="102" spans="1:16">
      <c r="A102" s="338" t="s">
        <v>75</v>
      </c>
      <c r="B102" s="46">
        <v>2.9</v>
      </c>
      <c r="D102" s="46" t="s">
        <v>39</v>
      </c>
      <c r="E102" s="46" t="s">
        <v>40</v>
      </c>
      <c r="F102" s="46" t="s">
        <v>29</v>
      </c>
      <c r="G102" s="32" t="s">
        <v>58</v>
      </c>
      <c r="H102" s="46" t="s">
        <v>33</v>
      </c>
      <c r="I102" s="46">
        <v>2</v>
      </c>
      <c r="J102" s="46">
        <f t="shared" si="3"/>
        <v>2.9</v>
      </c>
      <c r="K102" s="46">
        <v>1.058199144</v>
      </c>
      <c r="L102" s="46" t="s">
        <v>31</v>
      </c>
      <c r="M102" s="46" t="s">
        <v>31</v>
      </c>
      <c r="N102" s="46" t="s">
        <v>31</v>
      </c>
      <c r="O102" s="46" t="s">
        <v>756</v>
      </c>
    </row>
    <row r="103" spans="1:16">
      <c r="A103" s="338" t="s">
        <v>75</v>
      </c>
      <c r="B103" s="46">
        <v>1.7</v>
      </c>
      <c r="D103" s="46" t="s">
        <v>39</v>
      </c>
      <c r="E103" s="46" t="s">
        <v>40</v>
      </c>
      <c r="F103" s="46" t="s">
        <v>29</v>
      </c>
      <c r="G103" s="32" t="s">
        <v>58</v>
      </c>
      <c r="H103" s="46" t="s">
        <v>33</v>
      </c>
      <c r="I103" s="46">
        <v>2</v>
      </c>
      <c r="J103" s="46">
        <f t="shared" si="3"/>
        <v>1.7</v>
      </c>
      <c r="K103" s="46">
        <v>1.058199144</v>
      </c>
      <c r="L103" s="46" t="s">
        <v>31</v>
      </c>
      <c r="M103" s="46" t="s">
        <v>31</v>
      </c>
      <c r="N103" s="46" t="s">
        <v>31</v>
      </c>
      <c r="O103" s="46" t="s">
        <v>756</v>
      </c>
    </row>
    <row r="104" spans="1:16">
      <c r="A104" s="338" t="s">
        <v>75</v>
      </c>
      <c r="B104" s="46">
        <v>0.7</v>
      </c>
      <c r="D104" s="46" t="s">
        <v>39</v>
      </c>
      <c r="E104" s="46" t="s">
        <v>40</v>
      </c>
      <c r="F104" s="46" t="s">
        <v>29</v>
      </c>
      <c r="G104" s="32" t="s">
        <v>58</v>
      </c>
      <c r="H104" s="46" t="s">
        <v>33</v>
      </c>
      <c r="I104" s="46">
        <v>2</v>
      </c>
      <c r="J104" s="46">
        <f t="shared" si="3"/>
        <v>0.7</v>
      </c>
      <c r="K104" s="46">
        <v>1.058199144</v>
      </c>
      <c r="L104" s="46" t="s">
        <v>31</v>
      </c>
      <c r="M104" s="46" t="s">
        <v>31</v>
      </c>
      <c r="N104" s="46" t="s">
        <v>31</v>
      </c>
      <c r="O104" s="46" t="s">
        <v>756</v>
      </c>
      <c r="P104" s="46" t="s">
        <v>714</v>
      </c>
    </row>
    <row r="105" spans="1:16" s="345" customFormat="1">
      <c r="A105" s="347" t="s">
        <v>329</v>
      </c>
      <c r="B105" s="345">
        <v>1.1200000000000001</v>
      </c>
      <c r="D105" s="345" t="s">
        <v>37</v>
      </c>
      <c r="E105" s="345" t="s">
        <v>40</v>
      </c>
      <c r="F105" s="345" t="s">
        <v>29</v>
      </c>
      <c r="G105" s="358" t="s">
        <v>58</v>
      </c>
      <c r="H105" s="345" t="s">
        <v>243</v>
      </c>
      <c r="I105" s="345">
        <v>3</v>
      </c>
      <c r="J105" s="345">
        <f t="shared" si="3"/>
        <v>1.1200000000000001</v>
      </c>
      <c r="K105" s="46">
        <v>1.1116329410000001</v>
      </c>
      <c r="L105" s="345" t="s">
        <v>31</v>
      </c>
      <c r="M105" s="345" t="s">
        <v>31</v>
      </c>
      <c r="N105" s="345" t="s">
        <v>31</v>
      </c>
      <c r="O105" s="345" t="s">
        <v>757</v>
      </c>
      <c r="P105" s="345" t="s">
        <v>714</v>
      </c>
    </row>
    <row r="106" spans="1:16">
      <c r="A106" s="359" t="s">
        <v>245</v>
      </c>
      <c r="B106" s="46">
        <v>1.1200000000000001</v>
      </c>
      <c r="D106" s="46" t="s">
        <v>37</v>
      </c>
      <c r="E106" s="46" t="s">
        <v>40</v>
      </c>
      <c r="F106" s="46" t="s">
        <v>29</v>
      </c>
      <c r="G106" s="46" t="s">
        <v>128</v>
      </c>
      <c r="H106" s="46" t="s">
        <v>33</v>
      </c>
      <c r="I106" s="46">
        <v>3</v>
      </c>
      <c r="J106" s="46">
        <f t="shared" si="3"/>
        <v>1.1200000000000001</v>
      </c>
      <c r="K106" s="46">
        <v>1.1116329410000001</v>
      </c>
      <c r="L106" s="46" t="s">
        <v>31</v>
      </c>
      <c r="M106" s="46" t="s">
        <v>31</v>
      </c>
      <c r="N106" s="46" t="s">
        <v>31</v>
      </c>
      <c r="O106" s="46" t="s">
        <v>758</v>
      </c>
      <c r="P106" s="46" t="s">
        <v>714</v>
      </c>
    </row>
    <row r="107" spans="1:16" s="334" customFormat="1">
      <c r="A107" s="360" t="s">
        <v>247</v>
      </c>
      <c r="B107" s="334">
        <v>1.1200000000000001</v>
      </c>
      <c r="C107" s="334" t="s">
        <v>248</v>
      </c>
      <c r="D107" s="334" t="s">
        <v>37</v>
      </c>
      <c r="E107" s="334" t="s">
        <v>40</v>
      </c>
      <c r="F107" s="334" t="s">
        <v>29</v>
      </c>
      <c r="G107" s="334" t="s">
        <v>128</v>
      </c>
      <c r="H107" s="334" t="s">
        <v>33</v>
      </c>
      <c r="I107" s="334">
        <v>3</v>
      </c>
      <c r="J107" s="334">
        <f t="shared" si="3"/>
        <v>1.1200000000000001</v>
      </c>
      <c r="K107" s="334">
        <v>1.1116329410000001</v>
      </c>
      <c r="L107" s="334" t="s">
        <v>31</v>
      </c>
      <c r="M107" s="334" t="s">
        <v>31</v>
      </c>
      <c r="N107" s="334" t="s">
        <v>31</v>
      </c>
      <c r="O107" s="334" t="s">
        <v>758</v>
      </c>
      <c r="P107" s="334" t="s">
        <v>714</v>
      </c>
    </row>
    <row r="108" spans="1:16">
      <c r="A108" s="46" t="s">
        <v>740</v>
      </c>
      <c r="B108" s="46">
        <f>3.12+0.541</f>
        <v>3.661</v>
      </c>
      <c r="D108" s="46" t="s">
        <v>37</v>
      </c>
      <c r="E108" s="46" t="s">
        <v>2</v>
      </c>
      <c r="F108" s="46" t="s">
        <v>29</v>
      </c>
      <c r="G108" s="32" t="s">
        <v>741</v>
      </c>
      <c r="H108" s="46" t="s">
        <v>33</v>
      </c>
      <c r="I108" s="46">
        <v>3</v>
      </c>
      <c r="J108" s="46">
        <f t="shared" si="3"/>
        <v>3.661</v>
      </c>
      <c r="K108" s="46">
        <v>1.058199144</v>
      </c>
      <c r="L108" s="46" t="s">
        <v>31</v>
      </c>
      <c r="M108" s="46" t="s">
        <v>31</v>
      </c>
      <c r="N108" s="46" t="s">
        <v>31</v>
      </c>
      <c r="O108" s="46" t="s">
        <v>759</v>
      </c>
      <c r="P108" s="46" t="s">
        <v>714</v>
      </c>
    </row>
    <row r="109" spans="1:16" s="341" customFormat="1" ht="13.5" thickBot="1">
      <c r="A109" s="361" t="s">
        <v>760</v>
      </c>
      <c r="B109" s="341">
        <v>0.21199999999999999</v>
      </c>
      <c r="D109" s="341" t="s">
        <v>37</v>
      </c>
      <c r="E109" s="341" t="s">
        <v>43</v>
      </c>
      <c r="F109" s="341" t="s">
        <v>44</v>
      </c>
      <c r="G109" s="357" t="s">
        <v>29</v>
      </c>
      <c r="H109" s="341" t="s">
        <v>45</v>
      </c>
      <c r="I109" s="341">
        <v>3</v>
      </c>
      <c r="J109" s="341">
        <f t="shared" si="3"/>
        <v>0.21199999999999999</v>
      </c>
      <c r="K109" s="341">
        <v>1.2292419450000001</v>
      </c>
      <c r="L109" s="341" t="s">
        <v>31</v>
      </c>
      <c r="M109" s="341" t="s">
        <v>31</v>
      </c>
      <c r="N109" s="341" t="s">
        <v>31</v>
      </c>
      <c r="O109" s="341" t="s">
        <v>761</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89ABA-BC77-4EA1-8F6F-01D6219547DD}">
  <sheetPr>
    <tabColor theme="0"/>
  </sheetPr>
  <dimension ref="A1:Q26"/>
  <sheetViews>
    <sheetView zoomScale="85" zoomScaleNormal="85" workbookViewId="0">
      <selection activeCell="B15" sqref="B15"/>
    </sheetView>
  </sheetViews>
  <sheetFormatPr defaultRowHeight="12.75"/>
  <cols>
    <col min="1" max="1" width="68.42578125" style="46" bestFit="1" customWidth="1"/>
    <col min="2" max="2" width="40.7109375" style="46" bestFit="1" customWidth="1"/>
    <col min="3" max="3" width="5" style="46" bestFit="1" customWidth="1"/>
    <col min="4" max="4" width="14.5703125" style="46" bestFit="1" customWidth="1"/>
    <col min="5" max="5" width="11" style="46" bestFit="1" customWidth="1"/>
    <col min="6" max="6" width="9" style="46" bestFit="1" customWidth="1"/>
    <col min="7" max="7" width="13.42578125" style="46" bestFit="1" customWidth="1"/>
    <col min="8" max="8" width="17.7109375" style="46" bestFit="1" customWidth="1"/>
    <col min="9" max="9" width="10" style="46" customWidth="1"/>
    <col min="10" max="13" width="10.85546875" style="46" bestFit="1" customWidth="1"/>
    <col min="14" max="14" width="9.140625" style="46"/>
    <col min="15" max="15" width="11" style="46" customWidth="1"/>
    <col min="16" max="16384" width="9.140625" style="46"/>
  </cols>
  <sheetData>
    <row r="1" spans="1:17">
      <c r="A1" s="46" t="s">
        <v>0</v>
      </c>
      <c r="B1" s="46">
        <v>13</v>
      </c>
    </row>
    <row r="2" spans="1:17">
      <c r="A2" s="362" t="s">
        <v>5</v>
      </c>
      <c r="B2" s="363" t="s">
        <v>762</v>
      </c>
      <c r="C2" s="364"/>
      <c r="D2" s="345"/>
      <c r="E2" s="345"/>
      <c r="F2" s="345"/>
      <c r="G2" s="345"/>
      <c r="H2" s="345"/>
      <c r="I2" s="345"/>
      <c r="J2" s="345"/>
      <c r="K2" s="345"/>
      <c r="L2" s="345"/>
      <c r="M2" s="345"/>
    </row>
    <row r="3" spans="1:17">
      <c r="A3" s="338" t="s">
        <v>7</v>
      </c>
      <c r="B3" s="46" t="s">
        <v>763</v>
      </c>
      <c r="C3" s="337"/>
    </row>
    <row r="4" spans="1:17">
      <c r="A4" s="338" t="s">
        <v>9</v>
      </c>
      <c r="B4" s="46" t="s">
        <v>764</v>
      </c>
      <c r="C4" s="337"/>
    </row>
    <row r="5" spans="1:17" ht="51">
      <c r="A5" s="338" t="s">
        <v>11</v>
      </c>
      <c r="B5" s="339" t="s">
        <v>765</v>
      </c>
    </row>
    <row r="6" spans="1:17">
      <c r="A6" s="338" t="s">
        <v>13</v>
      </c>
      <c r="B6" s="46" t="s">
        <v>14</v>
      </c>
    </row>
    <row r="7" spans="1:17">
      <c r="A7" s="338" t="s">
        <v>15</v>
      </c>
      <c r="B7" s="46">
        <v>1</v>
      </c>
    </row>
    <row r="8" spans="1:17">
      <c r="A8" s="338" t="s">
        <v>16</v>
      </c>
      <c r="B8" s="46" t="s">
        <v>17</v>
      </c>
    </row>
    <row r="9" spans="1:17">
      <c r="A9" s="338" t="s">
        <v>18</v>
      </c>
      <c r="B9" s="46" t="s">
        <v>18</v>
      </c>
    </row>
    <row r="10" spans="1:17">
      <c r="A10" s="335" t="s">
        <v>19</v>
      </c>
    </row>
    <row r="11" spans="1:17">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row>
    <row r="12" spans="1:17">
      <c r="A12" s="338" t="s">
        <v>762</v>
      </c>
      <c r="B12" s="46">
        <v>1</v>
      </c>
      <c r="C12" s="46" t="s">
        <v>18</v>
      </c>
      <c r="D12" s="46" t="s">
        <v>2</v>
      </c>
      <c r="E12" s="46" t="s">
        <v>29</v>
      </c>
      <c r="F12" s="46" t="s">
        <v>14</v>
      </c>
      <c r="G12" s="46" t="s">
        <v>30</v>
      </c>
      <c r="H12" s="46">
        <v>1</v>
      </c>
      <c r="I12" s="46">
        <v>1</v>
      </c>
      <c r="J12" s="46" t="s">
        <v>31</v>
      </c>
      <c r="K12" s="46" t="s">
        <v>31</v>
      </c>
      <c r="L12" s="46" t="s">
        <v>31</v>
      </c>
      <c r="M12" s="46" t="s">
        <v>31</v>
      </c>
      <c r="O12" s="46" t="s">
        <v>766</v>
      </c>
    </row>
    <row r="13" spans="1:17">
      <c r="A13" s="365" t="s">
        <v>767</v>
      </c>
      <c r="B13" s="46">
        <v>2</v>
      </c>
      <c r="C13" s="46" t="s">
        <v>18</v>
      </c>
      <c r="D13" s="46" t="s">
        <v>2</v>
      </c>
      <c r="E13" s="46" t="s">
        <v>29</v>
      </c>
      <c r="F13" s="46" t="s">
        <v>14</v>
      </c>
      <c r="G13" s="46" t="s">
        <v>33</v>
      </c>
      <c r="H13" s="46">
        <v>2</v>
      </c>
      <c r="I13" s="46">
        <f>LN(B13)</f>
        <v>0.69314718055994529</v>
      </c>
      <c r="J13" s="46">
        <v>3.9051247999999997E-2</v>
      </c>
      <c r="K13" s="46" t="s">
        <v>31</v>
      </c>
      <c r="L13" s="46" t="s">
        <v>31</v>
      </c>
      <c r="M13" s="46" t="s">
        <v>31</v>
      </c>
      <c r="N13" s="366" t="s">
        <v>768</v>
      </c>
      <c r="O13" s="46">
        <v>16.670000000000002</v>
      </c>
      <c r="P13" s="46" t="s">
        <v>221</v>
      </c>
      <c r="Q13" s="46">
        <f>O13*B12</f>
        <v>16.670000000000002</v>
      </c>
    </row>
    <row r="14" spans="1:17">
      <c r="A14" s="367" t="s">
        <v>769</v>
      </c>
      <c r="B14" s="46">
        <v>2</v>
      </c>
      <c r="C14" s="46" t="s">
        <v>18</v>
      </c>
      <c r="D14" s="46" t="s">
        <v>2</v>
      </c>
      <c r="E14" s="46" t="s">
        <v>29</v>
      </c>
      <c r="F14" s="46" t="s">
        <v>14</v>
      </c>
      <c r="G14" s="46" t="s">
        <v>33</v>
      </c>
      <c r="H14" s="46">
        <v>2</v>
      </c>
      <c r="I14" s="46">
        <f>LN(B14)</f>
        <v>0.69314718055994529</v>
      </c>
      <c r="J14" s="46">
        <v>3.9051247999999997E-2</v>
      </c>
      <c r="K14" s="46" t="s">
        <v>31</v>
      </c>
      <c r="L14" s="46" t="s">
        <v>31</v>
      </c>
      <c r="M14" s="46" t="s">
        <v>31</v>
      </c>
      <c r="N14" s="367" t="s">
        <v>770</v>
      </c>
      <c r="O14" s="46">
        <f>4.4</f>
        <v>4.4000000000000004</v>
      </c>
      <c r="P14" s="46" t="s">
        <v>221</v>
      </c>
      <c r="Q14" s="46">
        <f t="shared" ref="Q14:Q17" si="0">O14*B13</f>
        <v>8.8000000000000007</v>
      </c>
    </row>
    <row r="15" spans="1:17">
      <c r="A15" s="368" t="s">
        <v>771</v>
      </c>
      <c r="B15" s="46">
        <v>5</v>
      </c>
      <c r="C15" s="46" t="s">
        <v>18</v>
      </c>
      <c r="D15" s="46" t="s">
        <v>2</v>
      </c>
      <c r="E15" s="46" t="s">
        <v>29</v>
      </c>
      <c r="F15" s="46" t="s">
        <v>14</v>
      </c>
      <c r="G15" s="46" t="s">
        <v>33</v>
      </c>
      <c r="H15" s="46">
        <v>2</v>
      </c>
      <c r="I15" s="46">
        <f t="shared" ref="I15:I17" si="1">LN(B15)</f>
        <v>1.6094379124341003</v>
      </c>
      <c r="J15" s="46">
        <v>3.9051247999999997E-2</v>
      </c>
      <c r="K15" s="46" t="s">
        <v>31</v>
      </c>
      <c r="L15" s="46" t="s">
        <v>31</v>
      </c>
      <c r="M15" s="46" t="s">
        <v>31</v>
      </c>
      <c r="N15" s="368" t="s">
        <v>772</v>
      </c>
      <c r="O15" s="46">
        <v>4.4000000000000004</v>
      </c>
      <c r="P15" s="46" t="s">
        <v>221</v>
      </c>
      <c r="Q15" s="46">
        <f t="shared" si="0"/>
        <v>8.8000000000000007</v>
      </c>
    </row>
    <row r="16" spans="1:17">
      <c r="A16" s="369" t="s">
        <v>773</v>
      </c>
      <c r="B16" s="46">
        <v>10</v>
      </c>
      <c r="C16" s="46" t="s">
        <v>18</v>
      </c>
      <c r="D16" s="46" t="s">
        <v>2</v>
      </c>
      <c r="E16" s="46" t="s">
        <v>29</v>
      </c>
      <c r="F16" s="46" t="s">
        <v>14</v>
      </c>
      <c r="G16" s="46" t="s">
        <v>33</v>
      </c>
      <c r="H16" s="46">
        <v>2</v>
      </c>
      <c r="I16" s="46">
        <f t="shared" si="1"/>
        <v>2.3025850929940459</v>
      </c>
      <c r="J16" s="46">
        <v>3.9051247999999997E-2</v>
      </c>
      <c r="K16" s="46" t="s">
        <v>31</v>
      </c>
      <c r="L16" s="46" t="s">
        <v>31</v>
      </c>
      <c r="M16" s="46" t="s">
        <v>31</v>
      </c>
      <c r="N16" s="369" t="s">
        <v>774</v>
      </c>
      <c r="O16" s="46">
        <v>11.6</v>
      </c>
      <c r="P16" s="46" t="s">
        <v>221</v>
      </c>
      <c r="Q16" s="46">
        <f t="shared" si="0"/>
        <v>58</v>
      </c>
    </row>
    <row r="17" spans="1:17">
      <c r="A17" s="370" t="s">
        <v>775</v>
      </c>
      <c r="B17" s="46">
        <v>2</v>
      </c>
      <c r="C17" s="46" t="s">
        <v>18</v>
      </c>
      <c r="D17" s="46" t="s">
        <v>2</v>
      </c>
      <c r="E17" s="46" t="s">
        <v>29</v>
      </c>
      <c r="F17" s="46" t="s">
        <v>14</v>
      </c>
      <c r="G17" s="46" t="s">
        <v>33</v>
      </c>
      <c r="H17" s="46">
        <v>2</v>
      </c>
      <c r="I17" s="46">
        <f t="shared" si="1"/>
        <v>0.69314718055994529</v>
      </c>
      <c r="J17" s="46">
        <v>3.9051247999999997E-2</v>
      </c>
      <c r="K17" s="46" t="s">
        <v>31</v>
      </c>
      <c r="L17" s="46" t="s">
        <v>31</v>
      </c>
      <c r="M17" s="46" t="s">
        <v>31</v>
      </c>
      <c r="N17" s="370" t="s">
        <v>776</v>
      </c>
      <c r="O17" s="46">
        <v>25.3</v>
      </c>
      <c r="P17" s="46" t="s">
        <v>221</v>
      </c>
      <c r="Q17" s="46">
        <f t="shared" si="0"/>
        <v>253</v>
      </c>
    </row>
    <row r="20" spans="1:17">
      <c r="Q20" s="46">
        <f>SUM(Q13:Q17)</f>
        <v>345.27</v>
      </c>
    </row>
    <row r="21" spans="1:17">
      <c r="A21" s="363"/>
    </row>
    <row r="23" spans="1:17" ht="15">
      <c r="A23" s="371"/>
    </row>
    <row r="25" spans="1:17" ht="15">
      <c r="A25" s="326"/>
    </row>
    <row r="26" spans="1:17" ht="15">
      <c r="A26" s="372"/>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40CD-00CB-4B10-BBF0-1E9B5CA27C12}">
  <sheetPr>
    <tabColor theme="0"/>
  </sheetPr>
  <dimension ref="A1:Q37"/>
  <sheetViews>
    <sheetView topLeftCell="A10" workbookViewId="0">
      <selection activeCell="A36" sqref="A36"/>
    </sheetView>
  </sheetViews>
  <sheetFormatPr defaultRowHeight="15.75"/>
  <cols>
    <col min="1" max="1" width="43.140625" style="17" bestFit="1" customWidth="1"/>
    <col min="2" max="3" width="9.140625" style="17"/>
    <col min="4" max="4" width="34.42578125" style="17" bestFit="1" customWidth="1"/>
    <col min="5" max="16384" width="9.140625" style="17"/>
  </cols>
  <sheetData>
    <row r="1" spans="1:17">
      <c r="A1" s="46" t="s">
        <v>0</v>
      </c>
      <c r="B1" s="46">
        <v>13</v>
      </c>
      <c r="C1" s="46"/>
      <c r="D1" s="46"/>
      <c r="E1" s="46"/>
      <c r="F1" s="46"/>
      <c r="G1" s="46"/>
      <c r="H1" s="46"/>
      <c r="I1" s="46"/>
      <c r="J1" s="46"/>
      <c r="K1" s="46"/>
      <c r="L1" s="46"/>
      <c r="M1" s="46"/>
      <c r="N1" s="46"/>
    </row>
    <row r="2" spans="1:17">
      <c r="A2" s="362" t="s">
        <v>5</v>
      </c>
      <c r="B2" s="363" t="s">
        <v>777</v>
      </c>
      <c r="C2" s="364"/>
      <c r="D2" s="345"/>
      <c r="E2" s="345"/>
      <c r="F2" s="345"/>
      <c r="G2" s="345"/>
      <c r="H2" s="345"/>
      <c r="I2" s="345"/>
      <c r="J2" s="345"/>
      <c r="K2" s="345"/>
      <c r="L2" s="345"/>
      <c r="M2" s="345"/>
      <c r="N2" s="46"/>
      <c r="Q2" s="17" t="s">
        <v>778</v>
      </c>
    </row>
    <row r="3" spans="1:17">
      <c r="A3" s="338" t="s">
        <v>7</v>
      </c>
      <c r="B3" s="46" t="s">
        <v>779</v>
      </c>
      <c r="C3" s="337"/>
      <c r="D3" s="46"/>
      <c r="E3" s="46"/>
      <c r="F3" s="46"/>
      <c r="G3" s="46"/>
      <c r="H3" s="46"/>
      <c r="I3" s="46"/>
      <c r="J3" s="46"/>
      <c r="K3" s="46"/>
      <c r="L3" s="46"/>
      <c r="M3" s="46"/>
      <c r="N3" s="46"/>
    </row>
    <row r="4" spans="1:17">
      <c r="A4" s="338" t="s">
        <v>9</v>
      </c>
      <c r="B4" s="46" t="s">
        <v>780</v>
      </c>
      <c r="C4" s="337"/>
      <c r="D4" s="46"/>
      <c r="E4" s="46"/>
      <c r="F4" s="46"/>
      <c r="G4" s="46"/>
      <c r="H4" s="46"/>
      <c r="I4" s="46"/>
      <c r="J4" s="46"/>
      <c r="K4" s="46"/>
      <c r="L4" s="46"/>
      <c r="M4" s="46"/>
      <c r="N4" s="46"/>
    </row>
    <row r="5" spans="1:17">
      <c r="A5" s="338" t="s">
        <v>11</v>
      </c>
      <c r="B5" s="339" t="s">
        <v>781</v>
      </c>
      <c r="C5" s="46"/>
      <c r="D5" s="46"/>
      <c r="E5" s="46"/>
      <c r="F5" s="46"/>
      <c r="G5" s="46"/>
      <c r="H5" s="46"/>
      <c r="I5" s="46"/>
      <c r="J5" s="46"/>
      <c r="K5" s="46"/>
      <c r="L5" s="46"/>
      <c r="M5" s="46"/>
      <c r="N5" s="46"/>
    </row>
    <row r="6" spans="1:17">
      <c r="A6" s="338" t="s">
        <v>13</v>
      </c>
      <c r="B6" s="32" t="s">
        <v>741</v>
      </c>
      <c r="C6" s="46"/>
      <c r="D6" s="46"/>
      <c r="E6" s="46"/>
      <c r="F6" s="46"/>
      <c r="G6" s="46"/>
      <c r="H6" s="46"/>
      <c r="I6" s="46"/>
      <c r="J6" s="46"/>
      <c r="K6" s="46"/>
      <c r="L6" s="46"/>
      <c r="M6" s="46"/>
      <c r="N6" s="46"/>
    </row>
    <row r="7" spans="1:17">
      <c r="A7" s="338" t="s">
        <v>15</v>
      </c>
      <c r="B7" s="46">
        <v>1</v>
      </c>
      <c r="C7" s="46"/>
      <c r="D7" s="46"/>
      <c r="E7" s="46"/>
      <c r="F7" s="46"/>
      <c r="G7" s="46"/>
      <c r="H7" s="46"/>
      <c r="I7" s="46"/>
      <c r="J7" s="46"/>
      <c r="K7" s="46"/>
      <c r="L7" s="46"/>
      <c r="M7" s="46"/>
      <c r="N7" s="46"/>
    </row>
    <row r="8" spans="1:17">
      <c r="A8" s="338" t="s">
        <v>16</v>
      </c>
      <c r="B8" s="46" t="s">
        <v>17</v>
      </c>
      <c r="C8" s="46"/>
      <c r="D8" s="46"/>
      <c r="E8" s="46"/>
      <c r="F8" s="46"/>
      <c r="G8" s="46"/>
      <c r="H8" s="46"/>
      <c r="I8" s="46"/>
      <c r="J8" s="46"/>
      <c r="K8" s="46"/>
      <c r="L8" s="46"/>
      <c r="M8" s="46"/>
      <c r="N8" s="46"/>
    </row>
    <row r="9" spans="1:17">
      <c r="A9" s="338" t="s">
        <v>18</v>
      </c>
      <c r="B9" s="46" t="s">
        <v>37</v>
      </c>
      <c r="C9" s="46"/>
      <c r="D9" s="46"/>
      <c r="E9" s="46"/>
      <c r="F9" s="46"/>
      <c r="G9" s="46"/>
      <c r="H9" s="46"/>
      <c r="I9" s="46"/>
      <c r="J9" s="46"/>
      <c r="K9" s="46"/>
      <c r="L9" s="46"/>
      <c r="M9" s="46"/>
      <c r="N9" s="46"/>
    </row>
    <row r="10" spans="1:17">
      <c r="A10" s="335" t="s">
        <v>19</v>
      </c>
      <c r="B10" s="46"/>
      <c r="C10" s="46"/>
      <c r="D10" s="46"/>
      <c r="E10" s="46"/>
      <c r="F10" s="46"/>
      <c r="G10" s="46"/>
      <c r="H10" s="46"/>
      <c r="I10" s="46"/>
      <c r="J10" s="46"/>
      <c r="K10" s="46"/>
      <c r="L10" s="46"/>
      <c r="M10" s="46"/>
      <c r="N10" s="46"/>
    </row>
    <row r="11" spans="1:17">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row>
    <row r="12" spans="1:17">
      <c r="A12" s="46" t="s">
        <v>777</v>
      </c>
      <c r="B12" s="46">
        <v>1</v>
      </c>
      <c r="C12" s="46" t="s">
        <v>37</v>
      </c>
      <c r="D12" s="46" t="s">
        <v>2</v>
      </c>
      <c r="E12" s="46" t="s">
        <v>29</v>
      </c>
      <c r="F12" s="32" t="s">
        <v>741</v>
      </c>
      <c r="G12" s="46" t="s">
        <v>30</v>
      </c>
      <c r="H12" s="46">
        <v>1</v>
      </c>
      <c r="I12" s="46">
        <v>1</v>
      </c>
      <c r="J12" s="46" t="s">
        <v>31</v>
      </c>
      <c r="K12" s="46" t="s">
        <v>31</v>
      </c>
      <c r="L12" s="46" t="s">
        <v>31</v>
      </c>
      <c r="M12" s="46" t="s">
        <v>31</v>
      </c>
      <c r="N12" s="46"/>
    </row>
    <row r="13" spans="1:17">
      <c r="A13" s="338" t="s">
        <v>782</v>
      </c>
      <c r="B13" s="46">
        <v>-1</v>
      </c>
      <c r="C13" s="46" t="s">
        <v>37</v>
      </c>
      <c r="D13" s="46" t="s">
        <v>40</v>
      </c>
      <c r="E13" s="46" t="s">
        <v>29</v>
      </c>
      <c r="F13" s="32" t="s">
        <v>741</v>
      </c>
      <c r="G13" s="46" t="s">
        <v>33</v>
      </c>
      <c r="H13" s="46">
        <v>1</v>
      </c>
      <c r="I13" s="46">
        <v>1</v>
      </c>
      <c r="J13" s="46" t="s">
        <v>31</v>
      </c>
      <c r="K13" s="46" t="s">
        <v>31</v>
      </c>
      <c r="L13" s="46" t="s">
        <v>31</v>
      </c>
      <c r="M13" s="46" t="s">
        <v>31</v>
      </c>
      <c r="N13" s="46"/>
    </row>
    <row r="14" spans="1:17">
      <c r="A14" s="362" t="s">
        <v>5</v>
      </c>
      <c r="B14" s="363" t="s">
        <v>783</v>
      </c>
      <c r="C14" s="364"/>
      <c r="D14" s="345"/>
      <c r="E14" s="345"/>
      <c r="F14" s="345"/>
      <c r="G14" s="345"/>
      <c r="H14" s="345"/>
      <c r="I14" s="345"/>
      <c r="J14" s="345"/>
      <c r="K14" s="345"/>
      <c r="L14" s="345"/>
      <c r="M14" s="345"/>
      <c r="N14" s="46"/>
    </row>
    <row r="15" spans="1:17">
      <c r="A15" s="338" t="s">
        <v>7</v>
      </c>
      <c r="B15" s="46" t="s">
        <v>779</v>
      </c>
      <c r="C15" s="337"/>
      <c r="D15" s="46"/>
      <c r="E15" s="46"/>
      <c r="F15" s="46"/>
      <c r="G15" s="46"/>
      <c r="H15" s="46"/>
      <c r="I15" s="46"/>
      <c r="J15" s="46"/>
      <c r="K15" s="46"/>
      <c r="L15" s="46"/>
      <c r="M15" s="46"/>
      <c r="N15" s="46"/>
    </row>
    <row r="16" spans="1:17">
      <c r="A16" s="338" t="s">
        <v>9</v>
      </c>
      <c r="B16" s="373" t="s">
        <v>784</v>
      </c>
      <c r="C16" s="337"/>
      <c r="D16" s="46"/>
      <c r="E16" s="46"/>
      <c r="F16" s="46"/>
      <c r="G16" s="46"/>
      <c r="H16" s="46"/>
      <c r="I16" s="46"/>
      <c r="J16" s="46"/>
      <c r="K16" s="46"/>
      <c r="L16" s="46"/>
      <c r="M16" s="46"/>
      <c r="N16" s="46"/>
    </row>
    <row r="17" spans="1:14">
      <c r="A17" s="338" t="s">
        <v>11</v>
      </c>
      <c r="B17" s="339" t="s">
        <v>781</v>
      </c>
      <c r="C17" s="46"/>
      <c r="D17" s="46"/>
      <c r="E17" s="46"/>
      <c r="F17" s="46"/>
      <c r="G17" s="46"/>
      <c r="H17" s="46"/>
      <c r="I17" s="46"/>
      <c r="J17" s="46"/>
      <c r="K17" s="46"/>
      <c r="L17" s="46"/>
      <c r="M17" s="46"/>
      <c r="N17" s="46"/>
    </row>
    <row r="18" spans="1:14">
      <c r="A18" s="338" t="s">
        <v>13</v>
      </c>
      <c r="B18" s="32" t="s">
        <v>741</v>
      </c>
      <c r="C18" s="46"/>
      <c r="D18" s="46"/>
      <c r="E18" s="46"/>
      <c r="F18" s="46"/>
      <c r="G18" s="46"/>
      <c r="H18" s="46"/>
      <c r="I18" s="46"/>
      <c r="J18" s="46"/>
      <c r="K18" s="46"/>
      <c r="L18" s="46"/>
      <c r="M18" s="46"/>
      <c r="N18" s="46"/>
    </row>
    <row r="19" spans="1:14">
      <c r="A19" s="338" t="s">
        <v>15</v>
      </c>
      <c r="B19" s="46">
        <v>1</v>
      </c>
      <c r="C19" s="46"/>
      <c r="D19" s="46"/>
      <c r="E19" s="46"/>
      <c r="F19" s="46"/>
      <c r="G19" s="46"/>
      <c r="H19" s="46"/>
      <c r="I19" s="46"/>
      <c r="J19" s="46"/>
      <c r="K19" s="46"/>
      <c r="L19" s="46"/>
      <c r="M19" s="46"/>
      <c r="N19" s="46"/>
    </row>
    <row r="20" spans="1:14">
      <c r="A20" s="338" t="s">
        <v>16</v>
      </c>
      <c r="B20" s="46" t="s">
        <v>17</v>
      </c>
      <c r="C20" s="46"/>
      <c r="D20" s="46"/>
      <c r="E20" s="46"/>
      <c r="F20" s="46"/>
      <c r="G20" s="46"/>
      <c r="H20" s="46"/>
      <c r="I20" s="46"/>
      <c r="J20" s="46"/>
      <c r="K20" s="46"/>
      <c r="L20" s="46"/>
      <c r="M20" s="46"/>
      <c r="N20" s="46"/>
    </row>
    <row r="21" spans="1:14">
      <c r="A21" s="338" t="s">
        <v>18</v>
      </c>
      <c r="B21" s="46" t="s">
        <v>37</v>
      </c>
      <c r="C21" s="46"/>
      <c r="D21" s="46"/>
      <c r="E21" s="46"/>
      <c r="F21" s="46"/>
      <c r="G21" s="46"/>
      <c r="H21" s="46"/>
      <c r="I21" s="46"/>
      <c r="J21" s="46"/>
      <c r="K21" s="46"/>
      <c r="L21" s="46"/>
      <c r="M21" s="46"/>
      <c r="N21" s="46"/>
    </row>
    <row r="22" spans="1:14">
      <c r="A22" s="335" t="s">
        <v>19</v>
      </c>
      <c r="B22" s="46"/>
      <c r="C22" s="46"/>
      <c r="D22" s="46"/>
      <c r="E22" s="46"/>
      <c r="F22" s="46"/>
      <c r="G22" s="46"/>
      <c r="H22" s="46"/>
      <c r="I22" s="46"/>
      <c r="J22" s="46"/>
      <c r="K22" s="46"/>
      <c r="L22" s="46"/>
      <c r="M22" s="46"/>
      <c r="N22" s="46"/>
    </row>
    <row r="23" spans="1:14">
      <c r="A23" s="335" t="s">
        <v>20</v>
      </c>
      <c r="B23" s="336" t="s">
        <v>21</v>
      </c>
      <c r="C23" s="336" t="s">
        <v>18</v>
      </c>
      <c r="D23" s="336" t="s">
        <v>22</v>
      </c>
      <c r="E23" s="336" t="s">
        <v>7</v>
      </c>
      <c r="F23" s="336" t="s">
        <v>13</v>
      </c>
      <c r="G23" s="336" t="s">
        <v>16</v>
      </c>
      <c r="H23" s="336" t="s">
        <v>23</v>
      </c>
      <c r="I23" s="336" t="s">
        <v>24</v>
      </c>
      <c r="J23" s="336" t="s">
        <v>25</v>
      </c>
      <c r="K23" s="336" t="s">
        <v>26</v>
      </c>
      <c r="L23" s="336" t="s">
        <v>27</v>
      </c>
      <c r="M23" s="336" t="s">
        <v>28</v>
      </c>
      <c r="N23" s="336" t="s">
        <v>11</v>
      </c>
    </row>
    <row r="24" spans="1:14">
      <c r="A24" s="46" t="s">
        <v>783</v>
      </c>
      <c r="B24" s="46">
        <v>1</v>
      </c>
      <c r="C24" s="46" t="s">
        <v>37</v>
      </c>
      <c r="D24" s="46" t="s">
        <v>2</v>
      </c>
      <c r="E24" s="46" t="s">
        <v>29</v>
      </c>
      <c r="F24" s="32" t="s">
        <v>741</v>
      </c>
      <c r="G24" s="46" t="s">
        <v>30</v>
      </c>
      <c r="H24" s="46">
        <v>1</v>
      </c>
      <c r="I24" s="46">
        <v>1</v>
      </c>
      <c r="J24" s="46" t="s">
        <v>31</v>
      </c>
      <c r="K24" s="46" t="s">
        <v>31</v>
      </c>
      <c r="L24" s="46" t="s">
        <v>31</v>
      </c>
      <c r="M24" s="46" t="s">
        <v>31</v>
      </c>
      <c r="N24" s="46"/>
    </row>
    <row r="25" spans="1:14">
      <c r="A25" s="338" t="s">
        <v>309</v>
      </c>
      <c r="B25" s="46">
        <v>-1</v>
      </c>
      <c r="C25" s="46" t="s">
        <v>37</v>
      </c>
      <c r="D25" s="46" t="s">
        <v>40</v>
      </c>
      <c r="E25" s="46" t="s">
        <v>29</v>
      </c>
      <c r="F25" s="46" t="s">
        <v>741</v>
      </c>
      <c r="G25" s="46" t="s">
        <v>33</v>
      </c>
      <c r="H25" s="46">
        <v>1</v>
      </c>
      <c r="I25" s="46">
        <v>1</v>
      </c>
      <c r="J25" s="46" t="s">
        <v>31</v>
      </c>
      <c r="K25" s="46" t="s">
        <v>31</v>
      </c>
      <c r="L25" s="46" t="s">
        <v>31</v>
      </c>
      <c r="M25" s="46" t="s">
        <v>31</v>
      </c>
      <c r="N25" s="46"/>
    </row>
    <row r="26" spans="1:14">
      <c r="A26" s="362" t="s">
        <v>5</v>
      </c>
      <c r="B26" s="363" t="s">
        <v>740</v>
      </c>
      <c r="C26" s="364"/>
      <c r="D26" s="345"/>
      <c r="E26" s="345"/>
      <c r="F26" s="345"/>
      <c r="G26" s="345"/>
      <c r="H26" s="345"/>
      <c r="I26" s="345"/>
      <c r="J26" s="345"/>
      <c r="K26" s="345"/>
      <c r="L26" s="345"/>
      <c r="M26" s="345"/>
      <c r="N26" s="46"/>
    </row>
    <row r="27" spans="1:14">
      <c r="A27" s="338" t="s">
        <v>7</v>
      </c>
      <c r="B27" s="46" t="s">
        <v>779</v>
      </c>
      <c r="C27" s="337"/>
      <c r="D27" s="46"/>
      <c r="E27" s="46"/>
      <c r="F27" s="46"/>
      <c r="G27" s="46"/>
      <c r="H27" s="46"/>
      <c r="I27" s="46"/>
      <c r="J27" s="46"/>
      <c r="K27" s="46"/>
      <c r="L27" s="46"/>
      <c r="M27" s="46"/>
      <c r="N27" s="46"/>
    </row>
    <row r="28" spans="1:14">
      <c r="A28" s="338" t="s">
        <v>9</v>
      </c>
      <c r="B28" s="373" t="s">
        <v>785</v>
      </c>
      <c r="C28" s="337"/>
      <c r="D28" s="46"/>
      <c r="E28" s="46"/>
      <c r="F28" s="46"/>
      <c r="G28" s="46"/>
      <c r="H28" s="46"/>
      <c r="I28" s="46"/>
      <c r="J28" s="46"/>
      <c r="K28" s="46"/>
      <c r="L28" s="46"/>
      <c r="M28" s="46"/>
      <c r="N28" s="46"/>
    </row>
    <row r="29" spans="1:14">
      <c r="A29" s="338" t="s">
        <v>11</v>
      </c>
      <c r="B29" s="339" t="s">
        <v>781</v>
      </c>
      <c r="C29" s="46"/>
      <c r="D29" s="46"/>
      <c r="E29" s="46"/>
      <c r="F29" s="46"/>
      <c r="G29" s="46"/>
      <c r="H29" s="46"/>
      <c r="I29" s="46"/>
      <c r="J29" s="46"/>
      <c r="K29" s="46"/>
      <c r="L29" s="46"/>
      <c r="M29" s="46"/>
      <c r="N29" s="46"/>
    </row>
    <row r="30" spans="1:14">
      <c r="A30" s="338" t="s">
        <v>13</v>
      </c>
      <c r="B30" s="32" t="s">
        <v>741</v>
      </c>
      <c r="C30" s="46"/>
      <c r="D30" s="46"/>
      <c r="E30" s="46"/>
      <c r="F30" s="46"/>
      <c r="G30" s="46"/>
      <c r="H30" s="46"/>
      <c r="I30" s="46"/>
      <c r="J30" s="46"/>
      <c r="K30" s="46"/>
      <c r="L30" s="46"/>
      <c r="M30" s="46"/>
      <c r="N30" s="46"/>
    </row>
    <row r="31" spans="1:14">
      <c r="A31" s="338" t="s">
        <v>15</v>
      </c>
      <c r="B31" s="46">
        <v>1</v>
      </c>
      <c r="C31" s="46"/>
      <c r="D31" s="46"/>
      <c r="E31" s="46"/>
      <c r="F31" s="46"/>
      <c r="G31" s="46"/>
      <c r="H31" s="46"/>
      <c r="I31" s="46"/>
      <c r="J31" s="46"/>
      <c r="K31" s="46"/>
      <c r="L31" s="46"/>
      <c r="M31" s="46"/>
      <c r="N31" s="46"/>
    </row>
    <row r="32" spans="1:14">
      <c r="A32" s="338" t="s">
        <v>16</v>
      </c>
      <c r="B32" s="46" t="s">
        <v>17</v>
      </c>
      <c r="C32" s="46"/>
      <c r="D32" s="46"/>
      <c r="E32" s="46"/>
      <c r="F32" s="46"/>
      <c r="G32" s="46"/>
      <c r="H32" s="46"/>
      <c r="I32" s="46"/>
      <c r="J32" s="46"/>
      <c r="K32" s="46"/>
      <c r="L32" s="46"/>
      <c r="M32" s="46"/>
      <c r="N32" s="46"/>
    </row>
    <row r="33" spans="1:14">
      <c r="A33" s="338" t="s">
        <v>18</v>
      </c>
      <c r="B33" s="46" t="s">
        <v>37</v>
      </c>
      <c r="C33" s="46"/>
      <c r="D33" s="46"/>
      <c r="E33" s="46"/>
      <c r="F33" s="46"/>
      <c r="G33" s="46"/>
      <c r="H33" s="46"/>
      <c r="I33" s="46"/>
      <c r="J33" s="46"/>
      <c r="K33" s="46"/>
      <c r="L33" s="46"/>
      <c r="M33" s="46"/>
      <c r="N33" s="46"/>
    </row>
    <row r="34" spans="1:14">
      <c r="A34" s="335" t="s">
        <v>19</v>
      </c>
      <c r="B34" s="46"/>
      <c r="C34" s="46"/>
      <c r="D34" s="46"/>
      <c r="E34" s="46"/>
      <c r="F34" s="46"/>
      <c r="G34" s="46"/>
      <c r="H34" s="46"/>
      <c r="I34" s="46"/>
      <c r="J34" s="46"/>
      <c r="K34" s="46"/>
      <c r="L34" s="46"/>
      <c r="M34" s="46"/>
      <c r="N34" s="46"/>
    </row>
    <row r="35" spans="1:14">
      <c r="A35" s="335" t="s">
        <v>20</v>
      </c>
      <c r="B35" s="336" t="s">
        <v>21</v>
      </c>
      <c r="C35" s="336" t="s">
        <v>18</v>
      </c>
      <c r="D35" s="336" t="s">
        <v>22</v>
      </c>
      <c r="E35" s="336" t="s">
        <v>7</v>
      </c>
      <c r="F35" s="336" t="s">
        <v>13</v>
      </c>
      <c r="G35" s="336" t="s">
        <v>16</v>
      </c>
      <c r="H35" s="336" t="s">
        <v>23</v>
      </c>
      <c r="I35" s="336" t="s">
        <v>24</v>
      </c>
      <c r="J35" s="336" t="s">
        <v>25</v>
      </c>
      <c r="K35" s="336" t="s">
        <v>26</v>
      </c>
      <c r="L35" s="336" t="s">
        <v>27</v>
      </c>
      <c r="M35" s="336" t="s">
        <v>28</v>
      </c>
      <c r="N35" s="336" t="s">
        <v>11</v>
      </c>
    </row>
    <row r="36" spans="1:14">
      <c r="A36" s="46" t="s">
        <v>740</v>
      </c>
      <c r="B36" s="46">
        <v>1</v>
      </c>
      <c r="C36" s="46" t="s">
        <v>37</v>
      </c>
      <c r="D36" s="46" t="s">
        <v>2</v>
      </c>
      <c r="E36" s="46" t="s">
        <v>29</v>
      </c>
      <c r="F36" s="32" t="s">
        <v>741</v>
      </c>
      <c r="G36" s="46" t="s">
        <v>30</v>
      </c>
      <c r="H36" s="46">
        <v>1</v>
      </c>
      <c r="I36" s="46">
        <v>1</v>
      </c>
      <c r="J36" s="46" t="s">
        <v>31</v>
      </c>
      <c r="K36" s="46" t="s">
        <v>31</v>
      </c>
      <c r="L36" s="46" t="s">
        <v>31</v>
      </c>
      <c r="M36" s="46" t="s">
        <v>31</v>
      </c>
      <c r="N36" s="46"/>
    </row>
    <row r="37" spans="1:14">
      <c r="A37" s="32" t="s">
        <v>786</v>
      </c>
      <c r="B37" s="46">
        <v>-1</v>
      </c>
      <c r="C37" s="46" t="s">
        <v>37</v>
      </c>
      <c r="D37" s="46" t="s">
        <v>40</v>
      </c>
      <c r="E37" s="46" t="s">
        <v>29</v>
      </c>
      <c r="F37" s="32" t="s">
        <v>128</v>
      </c>
      <c r="G37" s="46" t="s">
        <v>33</v>
      </c>
      <c r="H37" s="46">
        <v>1</v>
      </c>
      <c r="I37" s="46">
        <v>1</v>
      </c>
      <c r="J37" s="46" t="s">
        <v>31</v>
      </c>
      <c r="K37" s="46" t="s">
        <v>31</v>
      </c>
      <c r="L37" s="46" t="s">
        <v>31</v>
      </c>
      <c r="M37" s="46" t="s">
        <v>31</v>
      </c>
      <c r="N37" s="46"/>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FF2D8-8A85-4770-850E-4B208E444609}">
  <sheetPr>
    <tabColor theme="0"/>
  </sheetPr>
  <dimension ref="A1:T52"/>
  <sheetViews>
    <sheetView topLeftCell="A9" workbookViewId="0">
      <selection activeCell="A25" sqref="A25"/>
    </sheetView>
  </sheetViews>
  <sheetFormatPr defaultRowHeight="12.75"/>
  <cols>
    <col min="1" max="1" width="67.140625" style="46" customWidth="1"/>
    <col min="2" max="3" width="9.140625" style="46" customWidth="1"/>
    <col min="4" max="4" width="13.28515625" style="46" customWidth="1"/>
    <col min="5" max="5" width="39.5703125" style="46" customWidth="1"/>
    <col min="6" max="6" width="12.28515625" style="46" customWidth="1"/>
    <col min="7" max="7" width="27.85546875" style="46" customWidth="1"/>
    <col min="8" max="8" width="13.7109375" style="46" customWidth="1"/>
    <col min="9" max="18" width="9.140625" style="46"/>
    <col min="19" max="20" width="5.7109375" style="46" customWidth="1"/>
    <col min="21" max="16384" width="9.140625" style="46"/>
  </cols>
  <sheetData>
    <row r="1" spans="1:16">
      <c r="A1" s="46" t="s">
        <v>0</v>
      </c>
      <c r="B1" s="46">
        <v>14</v>
      </c>
    </row>
    <row r="2" spans="1:16">
      <c r="A2" s="362" t="s">
        <v>5</v>
      </c>
      <c r="B2" s="363" t="s">
        <v>787</v>
      </c>
      <c r="C2" s="363"/>
      <c r="D2" s="364"/>
      <c r="E2" s="345"/>
      <c r="F2" s="345"/>
      <c r="G2" s="345"/>
      <c r="H2" s="345"/>
      <c r="I2" s="345"/>
      <c r="J2" s="345"/>
      <c r="K2" s="345"/>
      <c r="L2" s="345"/>
      <c r="M2" s="345"/>
      <c r="N2" s="345"/>
      <c r="P2" s="46" t="s">
        <v>778</v>
      </c>
    </row>
    <row r="3" spans="1:16">
      <c r="A3" s="338" t="s">
        <v>7</v>
      </c>
      <c r="B3" s="46" t="s">
        <v>779</v>
      </c>
      <c r="D3" s="337"/>
    </row>
    <row r="4" spans="1:16">
      <c r="A4" s="338" t="s">
        <v>9</v>
      </c>
      <c r="B4" s="46" t="s">
        <v>788</v>
      </c>
      <c r="D4" s="337"/>
    </row>
    <row r="5" spans="1:16" ht="15" customHeight="1">
      <c r="A5" s="338" t="s">
        <v>11</v>
      </c>
      <c r="B5" s="339" t="s">
        <v>789</v>
      </c>
      <c r="C5" s="339"/>
    </row>
    <row r="6" spans="1:16">
      <c r="A6" s="338" t="s">
        <v>13</v>
      </c>
      <c r="B6" s="46" t="s">
        <v>14</v>
      </c>
    </row>
    <row r="7" spans="1:16">
      <c r="A7" s="338" t="s">
        <v>15</v>
      </c>
      <c r="B7" s="46">
        <v>7.7843999999999997E-2</v>
      </c>
    </row>
    <row r="8" spans="1:16">
      <c r="A8" s="338" t="s">
        <v>16</v>
      </c>
      <c r="B8" s="46" t="s">
        <v>17</v>
      </c>
    </row>
    <row r="9" spans="1:16">
      <c r="A9" s="338" t="s">
        <v>18</v>
      </c>
      <c r="B9" s="46" t="s">
        <v>37</v>
      </c>
    </row>
    <row r="10" spans="1:16">
      <c r="A10" s="335" t="s">
        <v>19</v>
      </c>
    </row>
    <row r="11" spans="1:16">
      <c r="A11" s="335" t="s">
        <v>20</v>
      </c>
      <c r="B11" s="336" t="s">
        <v>21</v>
      </c>
      <c r="C11" s="374" t="s">
        <v>198</v>
      </c>
      <c r="D11" s="336" t="s">
        <v>18</v>
      </c>
      <c r="E11" s="336" t="s">
        <v>22</v>
      </c>
      <c r="F11" s="336" t="s">
        <v>7</v>
      </c>
      <c r="G11" s="336" t="s">
        <v>13</v>
      </c>
      <c r="H11" s="336" t="s">
        <v>16</v>
      </c>
      <c r="I11" s="336" t="s">
        <v>23</v>
      </c>
      <c r="J11" s="336" t="s">
        <v>24</v>
      </c>
      <c r="K11" s="336" t="s">
        <v>25</v>
      </c>
      <c r="L11" s="336" t="s">
        <v>26</v>
      </c>
      <c r="M11" s="336" t="s">
        <v>27</v>
      </c>
      <c r="N11" s="336" t="s">
        <v>28</v>
      </c>
      <c r="O11" s="336" t="s">
        <v>11</v>
      </c>
    </row>
    <row r="12" spans="1:16">
      <c r="A12" s="338" t="s">
        <v>787</v>
      </c>
      <c r="B12" s="46">
        <v>7.7843999999999997E-2</v>
      </c>
      <c r="D12" s="46" t="s">
        <v>37</v>
      </c>
      <c r="E12" s="46" t="s">
        <v>2</v>
      </c>
      <c r="F12" s="46" t="s">
        <v>29</v>
      </c>
      <c r="G12" s="32" t="s">
        <v>14</v>
      </c>
      <c r="H12" s="46" t="s">
        <v>30</v>
      </c>
      <c r="I12" s="46">
        <v>1</v>
      </c>
      <c r="J12" s="46">
        <f>B12</f>
        <v>7.7843999999999997E-2</v>
      </c>
      <c r="K12" s="46" t="s">
        <v>31</v>
      </c>
      <c r="L12" s="46" t="s">
        <v>31</v>
      </c>
      <c r="M12" s="46" t="s">
        <v>31</v>
      </c>
      <c r="N12" s="46" t="s">
        <v>31</v>
      </c>
    </row>
    <row r="13" spans="1:16">
      <c r="A13" s="338" t="s">
        <v>790</v>
      </c>
      <c r="B13" s="46">
        <v>1</v>
      </c>
      <c r="D13" s="46" t="s">
        <v>18</v>
      </c>
      <c r="E13" s="46" t="s">
        <v>2</v>
      </c>
      <c r="F13" s="46" t="s">
        <v>29</v>
      </c>
      <c r="G13" s="32" t="s">
        <v>14</v>
      </c>
      <c r="H13" s="46" t="s">
        <v>33</v>
      </c>
      <c r="I13" s="46">
        <v>1</v>
      </c>
      <c r="J13" s="46">
        <f>B13</f>
        <v>1</v>
      </c>
      <c r="K13" s="46" t="s">
        <v>31</v>
      </c>
      <c r="L13" s="46" t="s">
        <v>31</v>
      </c>
      <c r="M13" s="46" t="s">
        <v>31</v>
      </c>
      <c r="N13" s="46" t="s">
        <v>31</v>
      </c>
    </row>
    <row r="14" spans="1:16">
      <c r="A14" s="338" t="s">
        <v>75</v>
      </c>
      <c r="B14" s="46">
        <v>1.02</v>
      </c>
      <c r="D14" s="46" t="s">
        <v>39</v>
      </c>
      <c r="E14" s="46" t="s">
        <v>40</v>
      </c>
      <c r="F14" s="46" t="s">
        <v>29</v>
      </c>
      <c r="G14" s="32" t="s">
        <v>14</v>
      </c>
      <c r="H14" s="46" t="s">
        <v>33</v>
      </c>
      <c r="I14" s="46">
        <v>2</v>
      </c>
      <c r="J14" s="46">
        <f>LN(B14)</f>
        <v>1.980262729617973E-2</v>
      </c>
      <c r="K14" s="46">
        <v>3.7749171999999998E-2</v>
      </c>
      <c r="L14" s="46" t="s">
        <v>31</v>
      </c>
      <c r="M14" s="46" t="s">
        <v>31</v>
      </c>
      <c r="N14" s="46" t="s">
        <v>31</v>
      </c>
    </row>
    <row r="15" spans="1:16">
      <c r="A15" s="338" t="s">
        <v>791</v>
      </c>
      <c r="B15" s="46">
        <f>1.4/1000</f>
        <v>1.4E-3</v>
      </c>
      <c r="D15" s="46" t="s">
        <v>37</v>
      </c>
      <c r="E15" s="46" t="s">
        <v>40</v>
      </c>
      <c r="F15" s="46" t="s">
        <v>29</v>
      </c>
      <c r="G15" s="32" t="s">
        <v>35</v>
      </c>
      <c r="H15" s="46" t="s">
        <v>33</v>
      </c>
      <c r="I15" s="46">
        <v>2</v>
      </c>
      <c r="J15" s="46">
        <f t="shared" ref="J15:J27" si="0">LN(B15)</f>
        <v>-6.5712830423609239</v>
      </c>
      <c r="K15" s="46">
        <v>3.7749171999999998E-2</v>
      </c>
      <c r="L15" s="46" t="s">
        <v>31</v>
      </c>
      <c r="M15" s="46" t="s">
        <v>31</v>
      </c>
      <c r="N15" s="46" t="s">
        <v>31</v>
      </c>
    </row>
    <row r="16" spans="1:16">
      <c r="A16" s="338" t="s">
        <v>546</v>
      </c>
      <c r="B16" s="46">
        <f>0.2/1000</f>
        <v>2.0000000000000001E-4</v>
      </c>
      <c r="D16" s="46" t="s">
        <v>37</v>
      </c>
      <c r="E16" s="46" t="s">
        <v>40</v>
      </c>
      <c r="F16" s="46" t="s">
        <v>29</v>
      </c>
      <c r="G16" s="32" t="s">
        <v>58</v>
      </c>
      <c r="H16" s="46" t="s">
        <v>33</v>
      </c>
      <c r="I16" s="46">
        <v>2</v>
      </c>
      <c r="J16" s="46">
        <f t="shared" si="0"/>
        <v>-8.5171931914162382</v>
      </c>
      <c r="K16" s="46">
        <v>3.7749171999999998E-2</v>
      </c>
      <c r="L16" s="46" t="s">
        <v>31</v>
      </c>
      <c r="M16" s="46" t="s">
        <v>31</v>
      </c>
      <c r="N16" s="46" t="s">
        <v>31</v>
      </c>
    </row>
    <row r="17" spans="1:14">
      <c r="A17" s="338" t="s">
        <v>792</v>
      </c>
      <c r="B17" s="46">
        <f>7.1/1000</f>
        <v>7.0999999999999995E-3</v>
      </c>
      <c r="D17" s="46" t="s">
        <v>37</v>
      </c>
      <c r="E17" s="46" t="s">
        <v>40</v>
      </c>
      <c r="F17" s="46" t="s">
        <v>29</v>
      </c>
      <c r="G17" s="32" t="s">
        <v>741</v>
      </c>
      <c r="H17" s="46" t="s">
        <v>33</v>
      </c>
      <c r="I17" s="46">
        <v>2</v>
      </c>
      <c r="J17" s="46">
        <f t="shared" si="0"/>
        <v>-4.9476604949348673</v>
      </c>
      <c r="K17" s="46">
        <v>3.7749171999999998E-2</v>
      </c>
      <c r="L17" s="46" t="s">
        <v>31</v>
      </c>
      <c r="M17" s="46" t="s">
        <v>31</v>
      </c>
      <c r="N17" s="46" t="s">
        <v>31</v>
      </c>
    </row>
    <row r="18" spans="1:14">
      <c r="A18" s="338" t="s">
        <v>480</v>
      </c>
      <c r="B18" s="46">
        <v>1.4</v>
      </c>
      <c r="D18" s="46" t="s">
        <v>37</v>
      </c>
      <c r="E18" s="46" t="s">
        <v>40</v>
      </c>
      <c r="F18" s="46" t="s">
        <v>29</v>
      </c>
      <c r="G18" s="32" t="s">
        <v>35</v>
      </c>
      <c r="H18" s="46" t="s">
        <v>33</v>
      </c>
      <c r="I18" s="46">
        <v>2</v>
      </c>
      <c r="J18" s="46">
        <f t="shared" si="0"/>
        <v>0.33647223662121289</v>
      </c>
      <c r="K18" s="46">
        <v>3.7749171999999998E-2</v>
      </c>
      <c r="L18" s="46" t="s">
        <v>31</v>
      </c>
      <c r="M18" s="46" t="s">
        <v>31</v>
      </c>
      <c r="N18" s="46" t="s">
        <v>31</v>
      </c>
    </row>
    <row r="19" spans="1:14">
      <c r="A19" s="338" t="s">
        <v>793</v>
      </c>
      <c r="B19" s="46">
        <v>2E-3</v>
      </c>
      <c r="D19" s="46" t="s">
        <v>37</v>
      </c>
      <c r="E19" s="46" t="s">
        <v>40</v>
      </c>
      <c r="F19" s="46" t="s">
        <v>29</v>
      </c>
      <c r="G19" s="32" t="s">
        <v>58</v>
      </c>
      <c r="H19" s="46" t="s">
        <v>33</v>
      </c>
      <c r="I19" s="46">
        <v>2</v>
      </c>
      <c r="J19" s="46">
        <f t="shared" si="0"/>
        <v>-6.2146080984221914</v>
      </c>
      <c r="K19" s="46">
        <v>3.7749171999999998E-2</v>
      </c>
      <c r="L19" s="46" t="s">
        <v>31</v>
      </c>
      <c r="M19" s="46" t="s">
        <v>31</v>
      </c>
      <c r="N19" s="46" t="s">
        <v>31</v>
      </c>
    </row>
    <row r="20" spans="1:14">
      <c r="A20" s="338" t="s">
        <v>794</v>
      </c>
      <c r="B20" s="46">
        <v>3.0000000000000001E-3</v>
      </c>
      <c r="D20" s="46" t="s">
        <v>37</v>
      </c>
      <c r="E20" s="46" t="s">
        <v>40</v>
      </c>
      <c r="F20" s="46" t="s">
        <v>29</v>
      </c>
      <c r="G20" s="32" t="s">
        <v>58</v>
      </c>
      <c r="H20" s="46" t="s">
        <v>33</v>
      </c>
      <c r="I20" s="46">
        <v>2</v>
      </c>
      <c r="J20" s="46">
        <f t="shared" si="0"/>
        <v>-5.8091429903140277</v>
      </c>
      <c r="K20" s="46">
        <v>3.7749171999999998E-2</v>
      </c>
      <c r="L20" s="46" t="s">
        <v>31</v>
      </c>
      <c r="M20" s="46" t="s">
        <v>31</v>
      </c>
      <c r="N20" s="46" t="s">
        <v>31</v>
      </c>
    </row>
    <row r="21" spans="1:14">
      <c r="A21" s="338" t="s">
        <v>795</v>
      </c>
      <c r="B21" s="46">
        <v>2.9999999999999997E-4</v>
      </c>
      <c r="D21" s="46" t="s">
        <v>37</v>
      </c>
      <c r="E21" s="46" t="s">
        <v>40</v>
      </c>
      <c r="F21" s="46" t="s">
        <v>29</v>
      </c>
      <c r="G21" s="32" t="s">
        <v>35</v>
      </c>
      <c r="H21" s="46" t="s">
        <v>33</v>
      </c>
      <c r="I21" s="46">
        <v>2</v>
      </c>
      <c r="J21" s="46">
        <f t="shared" si="0"/>
        <v>-8.1117280833080727</v>
      </c>
      <c r="K21" s="46">
        <v>3.7749171999999998E-2</v>
      </c>
      <c r="L21" s="46" t="s">
        <v>31</v>
      </c>
      <c r="M21" s="46" t="s">
        <v>31</v>
      </c>
      <c r="N21" s="46" t="s">
        <v>31</v>
      </c>
    </row>
    <row r="22" spans="1:14">
      <c r="A22" s="338" t="s">
        <v>796</v>
      </c>
      <c r="B22" s="46">
        <v>1.5E-3</v>
      </c>
      <c r="D22" s="46" t="s">
        <v>37</v>
      </c>
      <c r="E22" s="46" t="s">
        <v>40</v>
      </c>
      <c r="F22" s="46" t="s">
        <v>29</v>
      </c>
      <c r="G22" s="32" t="s">
        <v>58</v>
      </c>
      <c r="H22" s="46" t="s">
        <v>33</v>
      </c>
      <c r="I22" s="46">
        <v>2</v>
      </c>
      <c r="J22" s="46">
        <f t="shared" si="0"/>
        <v>-6.5022901708739722</v>
      </c>
      <c r="K22" s="46">
        <v>3.7749171999999998E-2</v>
      </c>
      <c r="L22" s="46" t="s">
        <v>31</v>
      </c>
      <c r="M22" s="46" t="s">
        <v>31</v>
      </c>
      <c r="N22" s="46" t="s">
        <v>31</v>
      </c>
    </row>
    <row r="23" spans="1:14">
      <c r="A23" s="338" t="s">
        <v>797</v>
      </c>
      <c r="B23" s="46">
        <v>5.0000000000000001E-4</v>
      </c>
      <c r="D23" s="46" t="s">
        <v>37</v>
      </c>
      <c r="E23" s="46" t="s">
        <v>40</v>
      </c>
      <c r="F23" s="46" t="s">
        <v>29</v>
      </c>
      <c r="G23" s="32" t="s">
        <v>35</v>
      </c>
      <c r="H23" s="46" t="s">
        <v>33</v>
      </c>
      <c r="I23" s="46">
        <v>2</v>
      </c>
      <c r="J23" s="46">
        <f t="shared" si="0"/>
        <v>-7.6009024595420822</v>
      </c>
      <c r="K23" s="46">
        <v>3.7749171999999998E-2</v>
      </c>
      <c r="L23" s="46" t="s">
        <v>31</v>
      </c>
      <c r="M23" s="46" t="s">
        <v>31</v>
      </c>
      <c r="N23" s="46" t="s">
        <v>31</v>
      </c>
    </row>
    <row r="24" spans="1:14">
      <c r="A24" s="338" t="s">
        <v>798</v>
      </c>
      <c r="B24" s="46">
        <v>8.9999999999999992E-5</v>
      </c>
      <c r="D24" s="46" t="s">
        <v>37</v>
      </c>
      <c r="E24" s="46" t="s">
        <v>43</v>
      </c>
      <c r="F24" s="46" t="s">
        <v>44</v>
      </c>
      <c r="G24" s="32" t="s">
        <v>29</v>
      </c>
      <c r="H24" s="46" t="s">
        <v>45</v>
      </c>
      <c r="I24" s="46">
        <v>2</v>
      </c>
      <c r="J24" s="46">
        <f t="shared" si="0"/>
        <v>-9.3157008876340086</v>
      </c>
      <c r="K24" s="46">
        <v>3.7749171999999998E-2</v>
      </c>
      <c r="L24" s="46" t="s">
        <v>31</v>
      </c>
      <c r="M24" s="46" t="s">
        <v>31</v>
      </c>
      <c r="N24" s="46" t="s">
        <v>31</v>
      </c>
    </row>
    <row r="25" spans="1:14">
      <c r="A25" s="338" t="s">
        <v>760</v>
      </c>
      <c r="B25" s="46">
        <v>3.3999999999999998E-3</v>
      </c>
      <c r="D25" s="46" t="s">
        <v>37</v>
      </c>
      <c r="E25" s="46" t="s">
        <v>43</v>
      </c>
      <c r="F25" s="46" t="s">
        <v>44</v>
      </c>
      <c r="G25" s="32" t="s">
        <v>29</v>
      </c>
      <c r="H25" s="46" t="s">
        <v>45</v>
      </c>
      <c r="I25" s="46">
        <v>2</v>
      </c>
      <c r="J25" s="46">
        <f t="shared" si="0"/>
        <v>-5.6839798473600212</v>
      </c>
      <c r="K25" s="46">
        <v>3.7749171999999998E-2</v>
      </c>
      <c r="L25" s="46" t="s">
        <v>31</v>
      </c>
      <c r="M25" s="46" t="s">
        <v>31</v>
      </c>
      <c r="N25" s="46" t="s">
        <v>31</v>
      </c>
    </row>
    <row r="26" spans="1:14">
      <c r="A26" s="46" t="s">
        <v>777</v>
      </c>
      <c r="B26" s="46">
        <v>1.4E-3</v>
      </c>
      <c r="D26" s="46" t="s">
        <v>37</v>
      </c>
      <c r="E26" s="46" t="s">
        <v>2</v>
      </c>
      <c r="F26" s="46" t="s">
        <v>29</v>
      </c>
      <c r="G26" s="32" t="s">
        <v>741</v>
      </c>
      <c r="H26" s="46" t="s">
        <v>33</v>
      </c>
      <c r="I26" s="46">
        <v>2</v>
      </c>
      <c r="J26" s="46">
        <f t="shared" si="0"/>
        <v>-6.5712830423609239</v>
      </c>
      <c r="K26" s="46">
        <v>3.7749171999999998E-2</v>
      </c>
      <c r="L26" s="46" t="s">
        <v>31</v>
      </c>
      <c r="M26" s="46" t="s">
        <v>31</v>
      </c>
      <c r="N26" s="46" t="s">
        <v>31</v>
      </c>
    </row>
    <row r="27" spans="1:14">
      <c r="A27" s="46" t="s">
        <v>783</v>
      </c>
      <c r="B27" s="46">
        <v>6.0000000000000002E-5</v>
      </c>
      <c r="D27" s="46" t="s">
        <v>37</v>
      </c>
      <c r="E27" s="46" t="s">
        <v>2</v>
      </c>
      <c r="F27" s="46" t="s">
        <v>29</v>
      </c>
      <c r="G27" s="46" t="s">
        <v>741</v>
      </c>
      <c r="H27" s="46" t="s">
        <v>33</v>
      </c>
      <c r="I27" s="46">
        <v>2</v>
      </c>
      <c r="J27" s="46">
        <f t="shared" si="0"/>
        <v>-9.7211659957421741</v>
      </c>
      <c r="K27" s="46">
        <v>3.7749171999999998E-2</v>
      </c>
      <c r="L27" s="46" t="s">
        <v>31</v>
      </c>
      <c r="M27" s="46" t="s">
        <v>31</v>
      </c>
      <c r="N27" s="46" t="s">
        <v>31</v>
      </c>
    </row>
    <row r="28" spans="1:14">
      <c r="A28" s="362" t="s">
        <v>5</v>
      </c>
      <c r="B28" s="363" t="s">
        <v>790</v>
      </c>
      <c r="C28" s="363"/>
      <c r="D28" s="364"/>
      <c r="E28" s="345"/>
      <c r="F28" s="345"/>
      <c r="G28" s="345"/>
      <c r="H28" s="345"/>
      <c r="I28" s="345"/>
      <c r="J28" s="345"/>
      <c r="K28" s="345"/>
      <c r="L28" s="345"/>
      <c r="M28" s="345"/>
      <c r="N28" s="345"/>
    </row>
    <row r="29" spans="1:14">
      <c r="A29" s="338" t="s">
        <v>7</v>
      </c>
      <c r="B29" s="46" t="s">
        <v>779</v>
      </c>
      <c r="D29" s="337"/>
    </row>
    <row r="30" spans="1:14">
      <c r="A30" s="338" t="s">
        <v>9</v>
      </c>
      <c r="B30" s="46" t="s">
        <v>799</v>
      </c>
      <c r="D30" s="337"/>
    </row>
    <row r="31" spans="1:14" ht="15.75" customHeight="1">
      <c r="A31" s="338" t="s">
        <v>11</v>
      </c>
      <c r="B31" s="339" t="s">
        <v>789</v>
      </c>
      <c r="C31" s="339"/>
    </row>
    <row r="32" spans="1:14">
      <c r="A32" s="338" t="s">
        <v>13</v>
      </c>
      <c r="B32" s="46" t="s">
        <v>14</v>
      </c>
    </row>
    <row r="33" spans="1:20">
      <c r="A33" s="338" t="s">
        <v>15</v>
      </c>
      <c r="B33" s="46">
        <v>1</v>
      </c>
    </row>
    <row r="34" spans="1:20">
      <c r="A34" s="338" t="s">
        <v>16</v>
      </c>
      <c r="B34" s="46" t="s">
        <v>17</v>
      </c>
    </row>
    <row r="35" spans="1:20">
      <c r="A35" s="338" t="s">
        <v>18</v>
      </c>
      <c r="B35" s="46" t="s">
        <v>18</v>
      </c>
    </row>
    <row r="36" spans="1:20">
      <c r="A36" s="335" t="s">
        <v>19</v>
      </c>
    </row>
    <row r="37" spans="1:20">
      <c r="A37" s="335" t="s">
        <v>20</v>
      </c>
      <c r="B37" s="336" t="s">
        <v>21</v>
      </c>
      <c r="C37" s="374" t="s">
        <v>198</v>
      </c>
      <c r="D37" s="336" t="s">
        <v>18</v>
      </c>
      <c r="E37" s="336" t="s">
        <v>22</v>
      </c>
      <c r="F37" s="336" t="s">
        <v>7</v>
      </c>
      <c r="G37" s="336" t="s">
        <v>13</v>
      </c>
      <c r="H37" s="336" t="s">
        <v>16</v>
      </c>
      <c r="I37" s="336" t="s">
        <v>23</v>
      </c>
      <c r="J37" s="336" t="s">
        <v>24</v>
      </c>
      <c r="K37" s="336" t="s">
        <v>25</v>
      </c>
      <c r="L37" s="336" t="s">
        <v>26</v>
      </c>
      <c r="M37" s="336" t="s">
        <v>27</v>
      </c>
      <c r="N37" s="336" t="s">
        <v>28</v>
      </c>
      <c r="O37" s="336" t="s">
        <v>11</v>
      </c>
    </row>
    <row r="38" spans="1:20">
      <c r="A38" s="338" t="s">
        <v>790</v>
      </c>
      <c r="B38" s="46">
        <v>1</v>
      </c>
      <c r="D38" s="46" t="s">
        <v>18</v>
      </c>
      <c r="E38" s="46" t="s">
        <v>2</v>
      </c>
      <c r="F38" s="46" t="s">
        <v>29</v>
      </c>
      <c r="G38" s="32" t="s">
        <v>14</v>
      </c>
      <c r="H38" s="46" t="s">
        <v>30</v>
      </c>
      <c r="I38" s="46">
        <v>1</v>
      </c>
      <c r="J38" s="46">
        <f>B38</f>
        <v>1</v>
      </c>
      <c r="K38" s="46" t="s">
        <v>31</v>
      </c>
      <c r="L38" s="46" t="s">
        <v>31</v>
      </c>
      <c r="M38" s="46" t="s">
        <v>31</v>
      </c>
      <c r="N38" s="46" t="s">
        <v>31</v>
      </c>
    </row>
    <row r="39" spans="1:20">
      <c r="A39" s="338" t="s">
        <v>800</v>
      </c>
      <c r="B39" s="46">
        <f>T39</f>
        <v>1.4999999999999999E-2</v>
      </c>
      <c r="D39" s="46" t="s">
        <v>113</v>
      </c>
      <c r="E39" s="46" t="s">
        <v>40</v>
      </c>
      <c r="F39" s="46" t="s">
        <v>29</v>
      </c>
      <c r="G39" s="32" t="s">
        <v>58</v>
      </c>
      <c r="H39" s="46" t="s">
        <v>33</v>
      </c>
      <c r="I39" s="46">
        <v>2</v>
      </c>
      <c r="J39" s="46">
        <f>LN(B39)</f>
        <v>-4.1997050778799272</v>
      </c>
      <c r="K39" s="46">
        <v>2.8722813232690055E-2</v>
      </c>
      <c r="L39" s="46" t="s">
        <v>31</v>
      </c>
      <c r="M39" s="46" t="s">
        <v>31</v>
      </c>
      <c r="N39" s="46" t="s">
        <v>31</v>
      </c>
      <c r="Q39" s="375" t="s">
        <v>801</v>
      </c>
      <c r="R39" s="376">
        <v>1.5</v>
      </c>
      <c r="S39" s="46" t="s">
        <v>605</v>
      </c>
      <c r="T39" s="46">
        <f>R39*0.01</f>
        <v>1.4999999999999999E-2</v>
      </c>
    </row>
    <row r="40" spans="1:20">
      <c r="A40" s="338" t="s">
        <v>802</v>
      </c>
      <c r="B40" s="46">
        <f>T40</f>
        <v>2.8E-3</v>
      </c>
      <c r="D40" s="46" t="s">
        <v>37</v>
      </c>
      <c r="E40" s="46" t="s">
        <v>40</v>
      </c>
      <c r="F40" s="46" t="s">
        <v>29</v>
      </c>
      <c r="G40" s="32" t="s">
        <v>58</v>
      </c>
      <c r="H40" s="46" t="s">
        <v>33</v>
      </c>
      <c r="I40" s="46">
        <v>2</v>
      </c>
      <c r="J40" s="46">
        <f t="shared" ref="J40:J50" si="1">LN(B40)</f>
        <v>-5.8781358618009785</v>
      </c>
      <c r="K40" s="46">
        <v>2.8722813232690055E-2</v>
      </c>
      <c r="L40" s="46" t="s">
        <v>31</v>
      </c>
      <c r="M40" s="46" t="s">
        <v>31</v>
      </c>
      <c r="N40" s="46" t="s">
        <v>31</v>
      </c>
      <c r="Q40" s="377" t="s">
        <v>575</v>
      </c>
      <c r="R40" s="378">
        <v>2.8</v>
      </c>
      <c r="S40" s="46" t="s">
        <v>221</v>
      </c>
      <c r="T40" s="46">
        <f>R40*0.001</f>
        <v>2.8E-3</v>
      </c>
    </row>
    <row r="41" spans="1:20">
      <c r="A41" s="338" t="s">
        <v>803</v>
      </c>
      <c r="B41" s="46">
        <f t="shared" ref="B41:B50" si="2">T41</f>
        <v>2.2000000000000001E-3</v>
      </c>
      <c r="D41" s="46" t="s">
        <v>37</v>
      </c>
      <c r="E41" s="46" t="s">
        <v>40</v>
      </c>
      <c r="F41" s="46" t="s">
        <v>29</v>
      </c>
      <c r="G41" s="32" t="s">
        <v>58</v>
      </c>
      <c r="H41" s="46" t="s">
        <v>33</v>
      </c>
      <c r="I41" s="46">
        <v>2</v>
      </c>
      <c r="J41" s="46">
        <f t="shared" si="1"/>
        <v>-6.1192979186178666</v>
      </c>
      <c r="K41" s="46">
        <v>2.8722813232690055E-2</v>
      </c>
      <c r="L41" s="46" t="s">
        <v>31</v>
      </c>
      <c r="M41" s="46" t="s">
        <v>31</v>
      </c>
      <c r="N41" s="46" t="s">
        <v>31</v>
      </c>
      <c r="Q41" s="375" t="s">
        <v>575</v>
      </c>
      <c r="R41" s="376">
        <v>2.2000000000000002</v>
      </c>
      <c r="S41" s="46" t="s">
        <v>221</v>
      </c>
      <c r="T41" s="46">
        <f t="shared" ref="T41:T50" si="3">R41*0.001</f>
        <v>2.2000000000000001E-3</v>
      </c>
    </row>
    <row r="42" spans="1:20">
      <c r="A42" s="338" t="s">
        <v>804</v>
      </c>
      <c r="B42" s="46">
        <f t="shared" si="2"/>
        <v>2.2000000000000001E-3</v>
      </c>
      <c r="D42" s="46" t="s">
        <v>37</v>
      </c>
      <c r="E42" s="46" t="s">
        <v>40</v>
      </c>
      <c r="F42" s="46" t="s">
        <v>29</v>
      </c>
      <c r="G42" s="32" t="s">
        <v>58</v>
      </c>
      <c r="H42" s="46" t="s">
        <v>33</v>
      </c>
      <c r="I42" s="46">
        <v>2</v>
      </c>
      <c r="J42" s="46">
        <f t="shared" si="1"/>
        <v>-6.1192979186178666</v>
      </c>
      <c r="K42" s="46">
        <v>2.8722813232690055E-2</v>
      </c>
      <c r="L42" s="46" t="s">
        <v>31</v>
      </c>
      <c r="M42" s="46" t="s">
        <v>31</v>
      </c>
      <c r="N42" s="46" t="s">
        <v>31</v>
      </c>
      <c r="Q42" s="377" t="s">
        <v>575</v>
      </c>
      <c r="R42" s="378">
        <v>2.2000000000000002</v>
      </c>
      <c r="S42" s="46" t="s">
        <v>221</v>
      </c>
      <c r="T42" s="46">
        <f t="shared" si="3"/>
        <v>2.2000000000000001E-3</v>
      </c>
    </row>
    <row r="43" spans="1:20">
      <c r="A43" s="338" t="s">
        <v>805</v>
      </c>
      <c r="B43" s="46">
        <f t="shared" si="2"/>
        <v>1.8000000000000002E-2</v>
      </c>
      <c r="D43" s="46" t="s">
        <v>37</v>
      </c>
      <c r="E43" s="46" t="s">
        <v>40</v>
      </c>
      <c r="F43" s="46" t="s">
        <v>29</v>
      </c>
      <c r="G43" s="32" t="s">
        <v>58</v>
      </c>
      <c r="H43" s="46" t="s">
        <v>33</v>
      </c>
      <c r="I43" s="46">
        <v>2</v>
      </c>
      <c r="J43" s="46">
        <f t="shared" si="1"/>
        <v>-4.0173835210859723</v>
      </c>
      <c r="K43" s="46">
        <v>2.8722813232690055E-2</v>
      </c>
      <c r="L43" s="46" t="s">
        <v>31</v>
      </c>
      <c r="M43" s="46" t="s">
        <v>31</v>
      </c>
      <c r="N43" s="46" t="s">
        <v>31</v>
      </c>
      <c r="Q43" s="375" t="s">
        <v>575</v>
      </c>
      <c r="R43" s="379">
        <v>18</v>
      </c>
      <c r="S43" s="46" t="s">
        <v>221</v>
      </c>
      <c r="T43" s="46">
        <f t="shared" si="3"/>
        <v>1.8000000000000002E-2</v>
      </c>
    </row>
    <row r="44" spans="1:20">
      <c r="A44" s="338" t="s">
        <v>806</v>
      </c>
      <c r="B44" s="46">
        <f t="shared" si="2"/>
        <v>9.0000000000000002E-6</v>
      </c>
      <c r="D44" s="46" t="s">
        <v>37</v>
      </c>
      <c r="E44" s="46" t="s">
        <v>40</v>
      </c>
      <c r="F44" s="46" t="s">
        <v>29</v>
      </c>
      <c r="G44" s="32" t="s">
        <v>58</v>
      </c>
      <c r="H44" s="46" t="s">
        <v>33</v>
      </c>
      <c r="I44" s="46">
        <v>2</v>
      </c>
      <c r="J44" s="46">
        <f t="shared" si="1"/>
        <v>-11.618285980628055</v>
      </c>
      <c r="K44" s="46">
        <v>2.8722813232690055E-2</v>
      </c>
      <c r="L44" s="46" t="s">
        <v>31</v>
      </c>
      <c r="M44" s="46" t="s">
        <v>31</v>
      </c>
      <c r="N44" s="46" t="s">
        <v>31</v>
      </c>
      <c r="Q44" s="377" t="s">
        <v>523</v>
      </c>
      <c r="R44" s="378">
        <v>9</v>
      </c>
      <c r="S44" s="46" t="s">
        <v>221</v>
      </c>
      <c r="T44" s="46">
        <f>R44*0.000001</f>
        <v>9.0000000000000002E-6</v>
      </c>
    </row>
    <row r="45" spans="1:20">
      <c r="A45" s="338" t="s">
        <v>807</v>
      </c>
      <c r="B45" s="46">
        <f t="shared" si="2"/>
        <v>3.8E-3</v>
      </c>
      <c r="D45" s="46" t="s">
        <v>37</v>
      </c>
      <c r="E45" s="46" t="s">
        <v>40</v>
      </c>
      <c r="F45" s="46" t="s">
        <v>29</v>
      </c>
      <c r="G45" s="32" t="s">
        <v>58</v>
      </c>
      <c r="H45" s="46" t="s">
        <v>33</v>
      </c>
      <c r="I45" s="46">
        <v>2</v>
      </c>
      <c r="J45" s="46">
        <f t="shared" si="1"/>
        <v>-5.5727542122497971</v>
      </c>
      <c r="K45" s="46">
        <v>2.8722813232690055E-2</v>
      </c>
      <c r="L45" s="46" t="s">
        <v>31</v>
      </c>
      <c r="M45" s="46" t="s">
        <v>31</v>
      </c>
      <c r="N45" s="46" t="s">
        <v>31</v>
      </c>
      <c r="Q45" s="375" t="s">
        <v>575</v>
      </c>
      <c r="R45" s="376">
        <v>3.8</v>
      </c>
      <c r="S45" s="46" t="s">
        <v>221</v>
      </c>
      <c r="T45" s="46">
        <f t="shared" si="3"/>
        <v>3.8E-3</v>
      </c>
    </row>
    <row r="46" spans="1:20">
      <c r="A46" s="338" t="s">
        <v>808</v>
      </c>
      <c r="B46" s="46">
        <f t="shared" si="2"/>
        <v>3.7000000000000002E-3</v>
      </c>
      <c r="D46" s="46" t="s">
        <v>37</v>
      </c>
      <c r="E46" s="46" t="s">
        <v>40</v>
      </c>
      <c r="F46" s="46" t="s">
        <v>29</v>
      </c>
      <c r="G46" s="32" t="s">
        <v>58</v>
      </c>
      <c r="H46" s="46" t="s">
        <v>33</v>
      </c>
      <c r="I46" s="46">
        <v>2</v>
      </c>
      <c r="J46" s="46">
        <f t="shared" si="1"/>
        <v>-5.5994224593319579</v>
      </c>
      <c r="K46" s="46">
        <v>2.8722813232690055E-2</v>
      </c>
      <c r="L46" s="46" t="s">
        <v>31</v>
      </c>
      <c r="M46" s="46" t="s">
        <v>31</v>
      </c>
      <c r="N46" s="46" t="s">
        <v>31</v>
      </c>
      <c r="Q46" s="377" t="s">
        <v>575</v>
      </c>
      <c r="R46" s="378">
        <v>3.7</v>
      </c>
      <c r="S46" s="46" t="s">
        <v>221</v>
      </c>
      <c r="T46" s="46">
        <f t="shared" si="3"/>
        <v>3.7000000000000002E-3</v>
      </c>
    </row>
    <row r="47" spans="1:20">
      <c r="A47" s="338" t="s">
        <v>809</v>
      </c>
      <c r="B47" s="46">
        <f t="shared" si="2"/>
        <v>3.4999999999999997E-5</v>
      </c>
      <c r="D47" s="46" t="s">
        <v>37</v>
      </c>
      <c r="E47" s="46" t="s">
        <v>40</v>
      </c>
      <c r="F47" s="46" t="s">
        <v>29</v>
      </c>
      <c r="G47" s="32" t="s">
        <v>58</v>
      </c>
      <c r="H47" s="46" t="s">
        <v>33</v>
      </c>
      <c r="I47" s="46">
        <v>2</v>
      </c>
      <c r="J47" s="46">
        <f t="shared" si="1"/>
        <v>-10.260162496474861</v>
      </c>
      <c r="K47" s="46">
        <v>2.8722813232690055E-2</v>
      </c>
      <c r="L47" s="46" t="s">
        <v>31</v>
      </c>
      <c r="M47" s="46" t="s">
        <v>31</v>
      </c>
      <c r="N47" s="46" t="s">
        <v>31</v>
      </c>
      <c r="Q47" s="375" t="s">
        <v>523</v>
      </c>
      <c r="R47" s="380">
        <v>35</v>
      </c>
      <c r="S47" s="46" t="s">
        <v>221</v>
      </c>
      <c r="T47" s="46">
        <f>R47*0.000001</f>
        <v>3.4999999999999997E-5</v>
      </c>
    </row>
    <row r="48" spans="1:20">
      <c r="A48" s="338" t="s">
        <v>810</v>
      </c>
      <c r="B48" s="46">
        <f t="shared" si="2"/>
        <v>1E-3</v>
      </c>
      <c r="D48" s="46" t="s">
        <v>37</v>
      </c>
      <c r="E48" s="46" t="s">
        <v>40</v>
      </c>
      <c r="F48" s="46" t="s">
        <v>29</v>
      </c>
      <c r="G48" s="32" t="s">
        <v>58</v>
      </c>
      <c r="H48" s="46" t="s">
        <v>33</v>
      </c>
      <c r="I48" s="46">
        <v>2</v>
      </c>
      <c r="J48" s="46">
        <f t="shared" si="1"/>
        <v>-6.9077552789821368</v>
      </c>
      <c r="K48" s="46">
        <v>2.8722813232690055E-2</v>
      </c>
      <c r="L48" s="46" t="s">
        <v>31</v>
      </c>
      <c r="M48" s="46" t="s">
        <v>31</v>
      </c>
      <c r="N48" s="46" t="s">
        <v>31</v>
      </c>
      <c r="Q48" s="377" t="s">
        <v>575</v>
      </c>
      <c r="R48" s="378">
        <v>1</v>
      </c>
      <c r="S48" s="46" t="s">
        <v>221</v>
      </c>
      <c r="T48" s="46">
        <f t="shared" si="3"/>
        <v>1E-3</v>
      </c>
    </row>
    <row r="49" spans="1:20">
      <c r="A49" s="338" t="s">
        <v>811</v>
      </c>
      <c r="B49" s="46">
        <f t="shared" si="2"/>
        <v>0.03</v>
      </c>
      <c r="D49" s="46" t="s">
        <v>37</v>
      </c>
      <c r="E49" s="46" t="s">
        <v>40</v>
      </c>
      <c r="F49" s="46" t="s">
        <v>29</v>
      </c>
      <c r="G49" s="32" t="s">
        <v>58</v>
      </c>
      <c r="H49" s="46" t="s">
        <v>33</v>
      </c>
      <c r="I49" s="46">
        <v>2</v>
      </c>
      <c r="J49" s="46">
        <f t="shared" si="1"/>
        <v>-3.5065578973199818</v>
      </c>
      <c r="K49" s="46">
        <v>2.8722813232690055E-2</v>
      </c>
      <c r="L49" s="46" t="s">
        <v>31</v>
      </c>
      <c r="M49" s="46" t="s">
        <v>31</v>
      </c>
      <c r="N49" s="46" t="s">
        <v>31</v>
      </c>
      <c r="Q49" s="375" t="s">
        <v>575</v>
      </c>
      <c r="R49" s="380">
        <v>30</v>
      </c>
      <c r="S49" s="46" t="s">
        <v>221</v>
      </c>
      <c r="T49" s="46">
        <f t="shared" si="3"/>
        <v>0.03</v>
      </c>
    </row>
    <row r="50" spans="1:20">
      <c r="A50" s="338" t="s">
        <v>812</v>
      </c>
      <c r="B50" s="46">
        <f t="shared" si="2"/>
        <v>1.3000000000000002E-3</v>
      </c>
      <c r="D50" s="46" t="s">
        <v>37</v>
      </c>
      <c r="E50" s="46" t="s">
        <v>40</v>
      </c>
      <c r="F50" s="46" t="s">
        <v>29</v>
      </c>
      <c r="G50" s="32" t="s">
        <v>58</v>
      </c>
      <c r="H50" s="46" t="s">
        <v>33</v>
      </c>
      <c r="I50" s="46">
        <v>2</v>
      </c>
      <c r="J50" s="46">
        <f t="shared" si="1"/>
        <v>-6.6453910145146455</v>
      </c>
      <c r="K50" s="46">
        <v>2.8722813232690055E-2</v>
      </c>
      <c r="L50" s="46" t="s">
        <v>31</v>
      </c>
      <c r="M50" s="46" t="s">
        <v>31</v>
      </c>
      <c r="N50" s="46" t="s">
        <v>31</v>
      </c>
      <c r="Q50" s="377" t="s">
        <v>575</v>
      </c>
      <c r="R50" s="378">
        <v>1.3</v>
      </c>
      <c r="S50" s="46" t="s">
        <v>221</v>
      </c>
      <c r="T50" s="46">
        <f t="shared" si="3"/>
        <v>1.3000000000000002E-3</v>
      </c>
    </row>
    <row r="51" spans="1:20">
      <c r="A51" s="338"/>
      <c r="G51" s="32"/>
    </row>
    <row r="52" spans="1:20">
      <c r="G52" s="3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66C9-7C27-4E91-BF34-C8FB6BE709E0}">
  <sheetPr>
    <tabColor theme="0"/>
  </sheetPr>
  <dimension ref="A1:T75"/>
  <sheetViews>
    <sheetView topLeftCell="A21" workbookViewId="0">
      <selection activeCell="A73" sqref="A73"/>
    </sheetView>
  </sheetViews>
  <sheetFormatPr defaultRowHeight="12.75"/>
  <cols>
    <col min="1" max="1" width="70" style="46" customWidth="1"/>
    <col min="2" max="3" width="9.140625" style="46"/>
    <col min="4" max="4" width="13.5703125" style="46" customWidth="1"/>
    <col min="5" max="5" width="34.5703125" style="46" customWidth="1"/>
    <col min="6" max="6" width="12.7109375" style="46" customWidth="1"/>
    <col min="7" max="7" width="9.140625" style="46"/>
    <col min="8" max="8" width="14.7109375" style="46" customWidth="1"/>
    <col min="9" max="16384" width="9.140625" style="46"/>
  </cols>
  <sheetData>
    <row r="1" spans="1:20">
      <c r="A1" s="46" t="s">
        <v>0</v>
      </c>
      <c r="B1" s="46">
        <v>14</v>
      </c>
    </row>
    <row r="2" spans="1:20">
      <c r="A2" s="362" t="s">
        <v>5</v>
      </c>
      <c r="B2" s="363" t="s">
        <v>813</v>
      </c>
      <c r="C2" s="363"/>
      <c r="D2" s="364"/>
      <c r="E2" s="345"/>
      <c r="F2" s="345"/>
      <c r="G2" s="345"/>
      <c r="H2" s="345"/>
      <c r="I2" s="345"/>
      <c r="J2" s="345"/>
      <c r="K2" s="345"/>
      <c r="L2" s="345"/>
      <c r="M2" s="345"/>
      <c r="N2" s="345"/>
      <c r="P2" s="46" t="s">
        <v>778</v>
      </c>
    </row>
    <row r="3" spans="1:20">
      <c r="A3" s="338" t="s">
        <v>7</v>
      </c>
      <c r="B3" s="46" t="s">
        <v>779</v>
      </c>
      <c r="D3" s="337"/>
    </row>
    <row r="4" spans="1:20">
      <c r="A4" s="338" t="s">
        <v>9</v>
      </c>
      <c r="B4" s="373" t="s">
        <v>814</v>
      </c>
      <c r="C4" s="373"/>
      <c r="D4" s="337"/>
    </row>
    <row r="5" spans="1:20" ht="16.5" customHeight="1">
      <c r="A5" s="338" t="s">
        <v>11</v>
      </c>
      <c r="B5" s="339" t="s">
        <v>789</v>
      </c>
      <c r="C5" s="339"/>
    </row>
    <row r="6" spans="1:20">
      <c r="A6" s="338" t="s">
        <v>13</v>
      </c>
      <c r="B6" s="46" t="s">
        <v>14</v>
      </c>
    </row>
    <row r="7" spans="1:20">
      <c r="A7" s="338" t="s">
        <v>15</v>
      </c>
      <c r="B7" s="46">
        <v>9.8095000000000002E-2</v>
      </c>
    </row>
    <row r="8" spans="1:20">
      <c r="A8" s="338" t="s">
        <v>16</v>
      </c>
      <c r="B8" s="46" t="s">
        <v>17</v>
      </c>
    </row>
    <row r="9" spans="1:20">
      <c r="A9" s="338" t="s">
        <v>18</v>
      </c>
      <c r="B9" s="46" t="s">
        <v>37</v>
      </c>
    </row>
    <row r="10" spans="1:20">
      <c r="A10" s="335" t="s">
        <v>19</v>
      </c>
    </row>
    <row r="11" spans="1:20">
      <c r="A11" s="335" t="s">
        <v>20</v>
      </c>
      <c r="B11" s="336" t="s">
        <v>21</v>
      </c>
      <c r="C11" s="374" t="s">
        <v>198</v>
      </c>
      <c r="D11" s="336" t="s">
        <v>18</v>
      </c>
      <c r="E11" s="336" t="s">
        <v>22</v>
      </c>
      <c r="F11" s="336" t="s">
        <v>7</v>
      </c>
      <c r="G11" s="336" t="s">
        <v>13</v>
      </c>
      <c r="H11" s="336" t="s">
        <v>16</v>
      </c>
      <c r="I11" s="336" t="s">
        <v>23</v>
      </c>
      <c r="J11" s="336" t="s">
        <v>24</v>
      </c>
      <c r="K11" s="336" t="s">
        <v>25</v>
      </c>
      <c r="L11" s="336" t="s">
        <v>26</v>
      </c>
      <c r="M11" s="336" t="s">
        <v>27</v>
      </c>
      <c r="N11" s="336" t="s">
        <v>28</v>
      </c>
      <c r="O11" s="336" t="s">
        <v>11</v>
      </c>
    </row>
    <row r="12" spans="1:20">
      <c r="A12" s="338" t="s">
        <v>813</v>
      </c>
      <c r="B12" s="46">
        <v>9.8095000000000002E-2</v>
      </c>
      <c r="D12" s="46" t="s">
        <v>37</v>
      </c>
      <c r="E12" s="46" t="s">
        <v>2</v>
      </c>
      <c r="F12" s="46" t="s">
        <v>29</v>
      </c>
      <c r="G12" s="32" t="s">
        <v>14</v>
      </c>
      <c r="H12" s="46" t="s">
        <v>30</v>
      </c>
      <c r="I12" s="46">
        <v>1</v>
      </c>
      <c r="J12" s="46">
        <f>B12</f>
        <v>9.8095000000000002E-2</v>
      </c>
      <c r="K12" s="46" t="s">
        <v>31</v>
      </c>
      <c r="L12" s="46" t="s">
        <v>31</v>
      </c>
      <c r="M12" s="46" t="s">
        <v>31</v>
      </c>
      <c r="N12" s="46" t="s">
        <v>31</v>
      </c>
      <c r="Q12" s="381" t="s">
        <v>815</v>
      </c>
    </row>
    <row r="13" spans="1:20">
      <c r="A13" s="338" t="s">
        <v>816</v>
      </c>
      <c r="B13" s="46">
        <f>S13</f>
        <v>6.9999999999999999E-4</v>
      </c>
      <c r="D13" s="46" t="s">
        <v>113</v>
      </c>
      <c r="E13" s="46" t="s">
        <v>2</v>
      </c>
      <c r="F13" s="46" t="s">
        <v>29</v>
      </c>
      <c r="G13" s="32" t="s">
        <v>14</v>
      </c>
      <c r="H13" s="46" t="s">
        <v>33</v>
      </c>
      <c r="I13" s="46">
        <v>2</v>
      </c>
      <c r="J13" s="46">
        <f>LN(B13)</f>
        <v>-7.2644302229208693</v>
      </c>
      <c r="K13" s="46">
        <v>2.8722813232690055E-2</v>
      </c>
      <c r="L13" s="46" t="s">
        <v>31</v>
      </c>
      <c r="M13" s="46" t="s">
        <v>31</v>
      </c>
      <c r="N13" s="46" t="s">
        <v>31</v>
      </c>
      <c r="Q13" s="382" t="s">
        <v>817</v>
      </c>
      <c r="R13" s="383">
        <v>6.9999999999999999E-4</v>
      </c>
      <c r="S13" s="384">
        <f>R13</f>
        <v>6.9999999999999999E-4</v>
      </c>
      <c r="T13" s="46" t="s">
        <v>605</v>
      </c>
    </row>
    <row r="14" spans="1:20">
      <c r="A14" s="47" t="s">
        <v>818</v>
      </c>
      <c r="B14" s="46">
        <f t="shared" ref="B14:B19" si="0">S14</f>
        <v>4.9000000000000002E-2</v>
      </c>
      <c r="D14" s="46" t="s">
        <v>37</v>
      </c>
      <c r="E14" s="46" t="s">
        <v>40</v>
      </c>
      <c r="F14" s="46" t="s">
        <v>29</v>
      </c>
      <c r="G14" s="32" t="s">
        <v>58</v>
      </c>
      <c r="H14" s="46" t="s">
        <v>33</v>
      </c>
      <c r="I14" s="46">
        <v>2</v>
      </c>
      <c r="J14" s="46">
        <f>LN(B14)</f>
        <v>-3.0159349808715104</v>
      </c>
      <c r="K14" s="46">
        <v>5.8523499553598146E-2</v>
      </c>
      <c r="L14" s="46" t="s">
        <v>31</v>
      </c>
      <c r="M14" s="46" t="s">
        <v>31</v>
      </c>
      <c r="N14" s="46" t="s">
        <v>31</v>
      </c>
      <c r="Q14" s="375" t="s">
        <v>575</v>
      </c>
      <c r="R14" s="380">
        <v>49</v>
      </c>
      <c r="S14" s="46">
        <f>R14*0.001</f>
        <v>4.9000000000000002E-2</v>
      </c>
      <c r="T14" s="46" t="s">
        <v>221</v>
      </c>
    </row>
    <row r="15" spans="1:20">
      <c r="A15" s="47" t="s">
        <v>793</v>
      </c>
      <c r="B15" s="46">
        <f t="shared" si="0"/>
        <v>3.1E-4</v>
      </c>
      <c r="D15" s="46" t="s">
        <v>37</v>
      </c>
      <c r="E15" s="46" t="s">
        <v>40</v>
      </c>
      <c r="F15" s="46" t="s">
        <v>29</v>
      </c>
      <c r="G15" s="32" t="s">
        <v>58</v>
      </c>
      <c r="H15" s="46" t="s">
        <v>33</v>
      </c>
      <c r="I15" s="46">
        <v>2</v>
      </c>
      <c r="J15" s="46">
        <f t="shared" ref="J15:J19" si="1">LN(B15)</f>
        <v>-8.0789382604850815</v>
      </c>
      <c r="K15" s="46">
        <v>5.8523499553598146E-2</v>
      </c>
      <c r="L15" s="46" t="s">
        <v>31</v>
      </c>
      <c r="M15" s="46" t="s">
        <v>31</v>
      </c>
      <c r="N15" s="46" t="s">
        <v>31</v>
      </c>
      <c r="Q15" s="375" t="s">
        <v>575</v>
      </c>
      <c r="R15" s="385">
        <v>0.31</v>
      </c>
      <c r="S15" s="46">
        <f>R15*0.001</f>
        <v>3.1E-4</v>
      </c>
      <c r="T15" s="46" t="s">
        <v>221</v>
      </c>
    </row>
    <row r="16" spans="1:20">
      <c r="A16" s="338" t="s">
        <v>75</v>
      </c>
      <c r="B16" s="46">
        <f t="shared" si="0"/>
        <v>0.05</v>
      </c>
      <c r="D16" s="46" t="s">
        <v>39</v>
      </c>
      <c r="E16" s="46" t="s">
        <v>40</v>
      </c>
      <c r="F16" s="46" t="s">
        <v>29</v>
      </c>
      <c r="G16" s="32" t="s">
        <v>35</v>
      </c>
      <c r="H16" s="46" t="s">
        <v>33</v>
      </c>
      <c r="I16" s="46">
        <v>2</v>
      </c>
      <c r="J16" s="46">
        <f t="shared" si="1"/>
        <v>-2.9957322735539909</v>
      </c>
      <c r="K16" s="46">
        <v>3.7749172176353707E-2</v>
      </c>
      <c r="L16" s="46" t="s">
        <v>31</v>
      </c>
      <c r="M16" s="46" t="s">
        <v>31</v>
      </c>
      <c r="N16" s="46" t="s">
        <v>31</v>
      </c>
      <c r="Q16" s="375" t="s">
        <v>216</v>
      </c>
      <c r="R16" s="385">
        <v>0.05</v>
      </c>
      <c r="S16" s="350">
        <f>R16</f>
        <v>0.05</v>
      </c>
      <c r="T16" s="46" t="s">
        <v>216</v>
      </c>
    </row>
    <row r="17" spans="1:20">
      <c r="A17" s="47" t="s">
        <v>819</v>
      </c>
      <c r="B17" s="46">
        <f t="shared" si="0"/>
        <v>6.9999999999999999E-6</v>
      </c>
      <c r="D17" s="46" t="s">
        <v>37</v>
      </c>
      <c r="E17" s="46" t="s">
        <v>40</v>
      </c>
      <c r="F17" s="46" t="s">
        <v>29</v>
      </c>
      <c r="G17" s="32" t="s">
        <v>58</v>
      </c>
      <c r="H17" s="46" t="s">
        <v>33</v>
      </c>
      <c r="I17" s="46">
        <v>2</v>
      </c>
      <c r="J17" s="46">
        <f t="shared" si="1"/>
        <v>-11.86960040890896</v>
      </c>
      <c r="K17" s="46">
        <v>3.7749172176353707E-2</v>
      </c>
      <c r="L17" s="46" t="s">
        <v>31</v>
      </c>
      <c r="M17" s="46" t="s">
        <v>31</v>
      </c>
      <c r="N17" s="46" t="s">
        <v>31</v>
      </c>
      <c r="Q17" s="375" t="s">
        <v>575</v>
      </c>
      <c r="R17" s="386">
        <v>7.0000000000000001E-3</v>
      </c>
      <c r="S17" s="46">
        <f>R17*0.001</f>
        <v>6.9999999999999999E-6</v>
      </c>
      <c r="T17" s="46" t="s">
        <v>221</v>
      </c>
    </row>
    <row r="18" spans="1:20">
      <c r="A18" s="47" t="s">
        <v>792</v>
      </c>
      <c r="B18" s="46">
        <f t="shared" si="0"/>
        <v>1.26E-4</v>
      </c>
      <c r="D18" s="46" t="s">
        <v>37</v>
      </c>
      <c r="E18" s="46" t="s">
        <v>40</v>
      </c>
      <c r="F18" s="46" t="s">
        <v>29</v>
      </c>
      <c r="G18" s="32" t="s">
        <v>741</v>
      </c>
      <c r="H18" s="46" t="s">
        <v>33</v>
      </c>
      <c r="I18" s="46">
        <v>2</v>
      </c>
      <c r="J18" s="46">
        <f t="shared" si="1"/>
        <v>-8.9792286510127965</v>
      </c>
      <c r="K18" s="46">
        <v>3.7749172176353707E-2</v>
      </c>
      <c r="L18" s="46" t="s">
        <v>31</v>
      </c>
      <c r="M18" s="46" t="s">
        <v>31</v>
      </c>
      <c r="N18" s="46" t="s">
        <v>31</v>
      </c>
      <c r="Q18" s="375" t="s">
        <v>575</v>
      </c>
      <c r="R18" s="386">
        <v>0.126</v>
      </c>
      <c r="S18" s="46">
        <f>R18*0.001</f>
        <v>1.26E-4</v>
      </c>
      <c r="T18" s="46" t="s">
        <v>221</v>
      </c>
    </row>
    <row r="19" spans="1:20">
      <c r="A19" s="47" t="s">
        <v>480</v>
      </c>
      <c r="B19" s="46">
        <f t="shared" si="0"/>
        <v>1.4999999999999999E-2</v>
      </c>
      <c r="D19" s="46" t="s">
        <v>37</v>
      </c>
      <c r="E19" s="46" t="s">
        <v>40</v>
      </c>
      <c r="F19" s="46" t="s">
        <v>29</v>
      </c>
      <c r="G19" s="32" t="s">
        <v>35</v>
      </c>
      <c r="H19" s="46" t="s">
        <v>33</v>
      </c>
      <c r="I19" s="46">
        <v>2</v>
      </c>
      <c r="J19" s="46">
        <f t="shared" si="1"/>
        <v>-4.1997050778799272</v>
      </c>
      <c r="K19" s="46">
        <v>3.7749172176353707E-2</v>
      </c>
      <c r="L19" s="46" t="s">
        <v>31</v>
      </c>
      <c r="M19" s="46" t="s">
        <v>31</v>
      </c>
      <c r="N19" s="46" t="s">
        <v>31</v>
      </c>
      <c r="Q19" s="375" t="s">
        <v>221</v>
      </c>
      <c r="R19" s="386">
        <v>1.4999999999999999E-2</v>
      </c>
      <c r="S19" s="384">
        <f>R19</f>
        <v>1.4999999999999999E-2</v>
      </c>
      <c r="T19" s="46" t="s">
        <v>221</v>
      </c>
    </row>
    <row r="20" spans="1:20">
      <c r="A20" s="362" t="s">
        <v>5</v>
      </c>
      <c r="B20" s="363" t="s">
        <v>816</v>
      </c>
      <c r="C20" s="363"/>
      <c r="D20" s="364"/>
      <c r="E20" s="345"/>
      <c r="F20" s="345"/>
      <c r="G20" s="345"/>
      <c r="H20" s="345"/>
      <c r="I20" s="345"/>
      <c r="J20" s="345"/>
      <c r="K20" s="345"/>
      <c r="L20" s="345"/>
      <c r="M20" s="345"/>
      <c r="N20" s="345"/>
    </row>
    <row r="21" spans="1:20">
      <c r="A21" s="338" t="s">
        <v>7</v>
      </c>
      <c r="B21" s="46" t="s">
        <v>779</v>
      </c>
      <c r="D21" s="337"/>
    </row>
    <row r="22" spans="1:20">
      <c r="A22" s="338" t="s">
        <v>9</v>
      </c>
      <c r="B22" s="373" t="s">
        <v>820</v>
      </c>
      <c r="C22" s="373"/>
      <c r="D22" s="337"/>
    </row>
    <row r="23" spans="1:20" ht="14.25" customHeight="1">
      <c r="A23" s="338" t="s">
        <v>11</v>
      </c>
      <c r="B23" s="339" t="s">
        <v>789</v>
      </c>
      <c r="C23" s="339"/>
    </row>
    <row r="24" spans="1:20">
      <c r="A24" s="338" t="s">
        <v>13</v>
      </c>
      <c r="B24" s="46" t="s">
        <v>14</v>
      </c>
    </row>
    <row r="25" spans="1:20">
      <c r="A25" s="338" t="s">
        <v>15</v>
      </c>
      <c r="B25" s="46">
        <v>7.0000000000000001E-3</v>
      </c>
    </row>
    <row r="26" spans="1:20">
      <c r="A26" s="338" t="s">
        <v>16</v>
      </c>
      <c r="B26" s="46" t="s">
        <v>17</v>
      </c>
    </row>
    <row r="27" spans="1:20">
      <c r="A27" s="338" t="s">
        <v>18</v>
      </c>
      <c r="B27" s="46" t="s">
        <v>113</v>
      </c>
    </row>
    <row r="28" spans="1:20">
      <c r="A28" s="335" t="s">
        <v>19</v>
      </c>
    </row>
    <row r="29" spans="1:20">
      <c r="A29" s="335" t="s">
        <v>20</v>
      </c>
      <c r="B29" s="336" t="s">
        <v>21</v>
      </c>
      <c r="C29" s="374" t="s">
        <v>198</v>
      </c>
      <c r="D29" s="336" t="s">
        <v>18</v>
      </c>
      <c r="E29" s="336" t="s">
        <v>22</v>
      </c>
      <c r="F29" s="336" t="s">
        <v>7</v>
      </c>
      <c r="G29" s="336" t="s">
        <v>13</v>
      </c>
      <c r="H29" s="336" t="s">
        <v>16</v>
      </c>
      <c r="I29" s="336" t="s">
        <v>23</v>
      </c>
      <c r="J29" s="336" t="s">
        <v>24</v>
      </c>
      <c r="K29" s="336" t="s">
        <v>25</v>
      </c>
      <c r="L29" s="336" t="s">
        <v>26</v>
      </c>
      <c r="M29" s="336" t="s">
        <v>27</v>
      </c>
      <c r="N29" s="336" t="s">
        <v>28</v>
      </c>
      <c r="O29" s="336" t="s">
        <v>11</v>
      </c>
    </row>
    <row r="30" spans="1:20">
      <c r="A30" s="338" t="s">
        <v>816</v>
      </c>
      <c r="B30" s="46">
        <v>7.0000000000000001E-3</v>
      </c>
      <c r="D30" s="46" t="s">
        <v>113</v>
      </c>
      <c r="E30" s="46" t="s">
        <v>2</v>
      </c>
      <c r="F30" s="46" t="s">
        <v>29</v>
      </c>
      <c r="G30" s="32" t="s">
        <v>14</v>
      </c>
      <c r="H30" s="46" t="s">
        <v>30</v>
      </c>
      <c r="I30" s="46">
        <v>1</v>
      </c>
      <c r="J30" s="46">
        <f>B30</f>
        <v>7.0000000000000001E-3</v>
      </c>
      <c r="K30" s="46" t="s">
        <v>31</v>
      </c>
      <c r="L30" s="46" t="s">
        <v>31</v>
      </c>
      <c r="M30" s="46" t="s">
        <v>31</v>
      </c>
      <c r="N30" s="46" t="s">
        <v>31</v>
      </c>
    </row>
    <row r="31" spans="1:20">
      <c r="A31" s="338" t="s">
        <v>821</v>
      </c>
      <c r="B31" s="46">
        <v>1</v>
      </c>
      <c r="D31" s="46" t="s">
        <v>18</v>
      </c>
      <c r="E31" s="46" t="s">
        <v>2</v>
      </c>
      <c r="F31" s="46" t="s">
        <v>29</v>
      </c>
      <c r="G31" s="32" t="s">
        <v>14</v>
      </c>
      <c r="H31" s="46" t="s">
        <v>33</v>
      </c>
      <c r="I31" s="46">
        <v>1</v>
      </c>
      <c r="J31" s="46">
        <f>B31</f>
        <v>1</v>
      </c>
      <c r="K31" s="46" t="s">
        <v>31</v>
      </c>
      <c r="L31" s="46" t="s">
        <v>31</v>
      </c>
      <c r="M31" s="46" t="s">
        <v>31</v>
      </c>
      <c r="N31" s="46" t="s">
        <v>31</v>
      </c>
    </row>
    <row r="32" spans="1:20">
      <c r="A32" s="338" t="s">
        <v>75</v>
      </c>
      <c r="B32" s="46">
        <v>1.02</v>
      </c>
      <c r="D32" s="46" t="s">
        <v>39</v>
      </c>
      <c r="E32" s="46" t="s">
        <v>40</v>
      </c>
      <c r="F32" s="46" t="s">
        <v>29</v>
      </c>
      <c r="G32" s="32" t="s">
        <v>14</v>
      </c>
      <c r="H32" s="46" t="s">
        <v>33</v>
      </c>
      <c r="I32" s="46">
        <v>2</v>
      </c>
      <c r="J32" s="46">
        <f>LN(B32)</f>
        <v>1.980262729617973E-2</v>
      </c>
      <c r="K32" s="46">
        <v>3.7749171999999998E-2</v>
      </c>
      <c r="L32" s="46" t="s">
        <v>31</v>
      </c>
      <c r="M32" s="46" t="s">
        <v>31</v>
      </c>
      <c r="N32" s="46" t="s">
        <v>31</v>
      </c>
    </row>
    <row r="33" spans="1:14">
      <c r="A33" s="338" t="s">
        <v>791</v>
      </c>
      <c r="B33" s="46">
        <f>1.4/1000</f>
        <v>1.4E-3</v>
      </c>
      <c r="D33" s="46" t="s">
        <v>37</v>
      </c>
      <c r="E33" s="46" t="s">
        <v>40</v>
      </c>
      <c r="F33" s="46" t="s">
        <v>29</v>
      </c>
      <c r="G33" s="32" t="s">
        <v>35</v>
      </c>
      <c r="H33" s="46" t="s">
        <v>33</v>
      </c>
      <c r="I33" s="46">
        <v>2</v>
      </c>
      <c r="J33" s="46">
        <f t="shared" ref="J33:J45" si="2">LN(B33)</f>
        <v>-6.5712830423609239</v>
      </c>
      <c r="K33" s="46">
        <v>3.7749171999999998E-2</v>
      </c>
      <c r="L33" s="46" t="s">
        <v>31</v>
      </c>
      <c r="M33" s="46" t="s">
        <v>31</v>
      </c>
      <c r="N33" s="46" t="s">
        <v>31</v>
      </c>
    </row>
    <row r="34" spans="1:14">
      <c r="A34" s="338" t="s">
        <v>546</v>
      </c>
      <c r="B34" s="46">
        <f>0.2/1000</f>
        <v>2.0000000000000001E-4</v>
      </c>
      <c r="D34" s="46" t="s">
        <v>37</v>
      </c>
      <c r="E34" s="46" t="s">
        <v>40</v>
      </c>
      <c r="F34" s="46" t="s">
        <v>29</v>
      </c>
      <c r="G34" s="32" t="s">
        <v>58</v>
      </c>
      <c r="H34" s="46" t="s">
        <v>33</v>
      </c>
      <c r="I34" s="46">
        <v>2</v>
      </c>
      <c r="J34" s="46">
        <f t="shared" si="2"/>
        <v>-8.5171931914162382</v>
      </c>
      <c r="K34" s="46">
        <v>3.7749171999999998E-2</v>
      </c>
      <c r="L34" s="46" t="s">
        <v>31</v>
      </c>
      <c r="M34" s="46" t="s">
        <v>31</v>
      </c>
      <c r="N34" s="46" t="s">
        <v>31</v>
      </c>
    </row>
    <row r="35" spans="1:14">
      <c r="A35" s="338" t="s">
        <v>792</v>
      </c>
      <c r="B35" s="46">
        <f>7.1/1000</f>
        <v>7.0999999999999995E-3</v>
      </c>
      <c r="D35" s="46" t="s">
        <v>37</v>
      </c>
      <c r="E35" s="46" t="s">
        <v>40</v>
      </c>
      <c r="F35" s="46" t="s">
        <v>29</v>
      </c>
      <c r="G35" s="32" t="s">
        <v>741</v>
      </c>
      <c r="H35" s="46" t="s">
        <v>33</v>
      </c>
      <c r="I35" s="46">
        <v>2</v>
      </c>
      <c r="J35" s="46">
        <f t="shared" si="2"/>
        <v>-4.9476604949348673</v>
      </c>
      <c r="K35" s="46">
        <v>3.7749171999999998E-2</v>
      </c>
      <c r="L35" s="46" t="s">
        <v>31</v>
      </c>
      <c r="M35" s="46" t="s">
        <v>31</v>
      </c>
      <c r="N35" s="46" t="s">
        <v>31</v>
      </c>
    </row>
    <row r="36" spans="1:14">
      <c r="A36" s="338" t="s">
        <v>480</v>
      </c>
      <c r="B36" s="46">
        <v>1.4</v>
      </c>
      <c r="D36" s="46" t="s">
        <v>37</v>
      </c>
      <c r="E36" s="46" t="s">
        <v>40</v>
      </c>
      <c r="F36" s="46" t="s">
        <v>29</v>
      </c>
      <c r="G36" s="32" t="s">
        <v>35</v>
      </c>
      <c r="H36" s="46" t="s">
        <v>33</v>
      </c>
      <c r="I36" s="46">
        <v>2</v>
      </c>
      <c r="J36" s="46">
        <f t="shared" si="2"/>
        <v>0.33647223662121289</v>
      </c>
      <c r="K36" s="46">
        <v>3.7749171999999998E-2</v>
      </c>
      <c r="L36" s="46" t="s">
        <v>31</v>
      </c>
      <c r="M36" s="46" t="s">
        <v>31</v>
      </c>
      <c r="N36" s="46" t="s">
        <v>31</v>
      </c>
    </row>
    <row r="37" spans="1:14">
      <c r="A37" s="338" t="s">
        <v>793</v>
      </c>
      <c r="B37" s="46">
        <v>2E-3</v>
      </c>
      <c r="D37" s="46" t="s">
        <v>37</v>
      </c>
      <c r="E37" s="46" t="s">
        <v>40</v>
      </c>
      <c r="F37" s="46" t="s">
        <v>29</v>
      </c>
      <c r="G37" s="32" t="s">
        <v>58</v>
      </c>
      <c r="H37" s="46" t="s">
        <v>33</v>
      </c>
      <c r="I37" s="46">
        <v>2</v>
      </c>
      <c r="J37" s="46">
        <f t="shared" si="2"/>
        <v>-6.2146080984221914</v>
      </c>
      <c r="K37" s="46">
        <v>3.7749171999999998E-2</v>
      </c>
      <c r="L37" s="46" t="s">
        <v>31</v>
      </c>
      <c r="M37" s="46" t="s">
        <v>31</v>
      </c>
      <c r="N37" s="46" t="s">
        <v>31</v>
      </c>
    </row>
    <row r="38" spans="1:14">
      <c r="A38" s="338" t="s">
        <v>794</v>
      </c>
      <c r="B38" s="46">
        <v>3.0000000000000001E-3</v>
      </c>
      <c r="D38" s="46" t="s">
        <v>37</v>
      </c>
      <c r="E38" s="46" t="s">
        <v>40</v>
      </c>
      <c r="F38" s="46" t="s">
        <v>29</v>
      </c>
      <c r="G38" s="32" t="s">
        <v>58</v>
      </c>
      <c r="H38" s="46" t="s">
        <v>33</v>
      </c>
      <c r="I38" s="46">
        <v>2</v>
      </c>
      <c r="J38" s="46">
        <f t="shared" si="2"/>
        <v>-5.8091429903140277</v>
      </c>
      <c r="K38" s="46">
        <v>3.7749171999999998E-2</v>
      </c>
      <c r="L38" s="46" t="s">
        <v>31</v>
      </c>
      <c r="M38" s="46" t="s">
        <v>31</v>
      </c>
      <c r="N38" s="46" t="s">
        <v>31</v>
      </c>
    </row>
    <row r="39" spans="1:14">
      <c r="A39" s="338" t="s">
        <v>795</v>
      </c>
      <c r="B39" s="46">
        <v>2.9999999999999997E-4</v>
      </c>
      <c r="D39" s="46" t="s">
        <v>37</v>
      </c>
      <c r="E39" s="46" t="s">
        <v>40</v>
      </c>
      <c r="F39" s="46" t="s">
        <v>29</v>
      </c>
      <c r="G39" s="32" t="s">
        <v>35</v>
      </c>
      <c r="H39" s="46" t="s">
        <v>33</v>
      </c>
      <c r="I39" s="46">
        <v>2</v>
      </c>
      <c r="J39" s="46">
        <f t="shared" si="2"/>
        <v>-8.1117280833080727</v>
      </c>
      <c r="K39" s="46">
        <v>3.7749171999999998E-2</v>
      </c>
      <c r="L39" s="46" t="s">
        <v>31</v>
      </c>
      <c r="M39" s="46" t="s">
        <v>31</v>
      </c>
      <c r="N39" s="46" t="s">
        <v>31</v>
      </c>
    </row>
    <row r="40" spans="1:14">
      <c r="A40" s="338" t="s">
        <v>796</v>
      </c>
      <c r="B40" s="46">
        <v>1.5E-3</v>
      </c>
      <c r="D40" s="46" t="s">
        <v>37</v>
      </c>
      <c r="E40" s="46" t="s">
        <v>40</v>
      </c>
      <c r="F40" s="46" t="s">
        <v>29</v>
      </c>
      <c r="G40" s="32" t="s">
        <v>58</v>
      </c>
      <c r="H40" s="46" t="s">
        <v>33</v>
      </c>
      <c r="I40" s="46">
        <v>2</v>
      </c>
      <c r="J40" s="46">
        <f t="shared" si="2"/>
        <v>-6.5022901708739722</v>
      </c>
      <c r="K40" s="46">
        <v>3.7749171999999998E-2</v>
      </c>
      <c r="L40" s="46" t="s">
        <v>31</v>
      </c>
      <c r="M40" s="46" t="s">
        <v>31</v>
      </c>
      <c r="N40" s="46" t="s">
        <v>31</v>
      </c>
    </row>
    <row r="41" spans="1:14">
      <c r="A41" s="338" t="s">
        <v>797</v>
      </c>
      <c r="B41" s="46">
        <v>5.0000000000000001E-4</v>
      </c>
      <c r="D41" s="46" t="s">
        <v>37</v>
      </c>
      <c r="E41" s="46" t="s">
        <v>40</v>
      </c>
      <c r="F41" s="46" t="s">
        <v>29</v>
      </c>
      <c r="G41" s="32" t="s">
        <v>35</v>
      </c>
      <c r="H41" s="46" t="s">
        <v>33</v>
      </c>
      <c r="I41" s="46">
        <v>2</v>
      </c>
      <c r="J41" s="46">
        <f t="shared" si="2"/>
        <v>-7.6009024595420822</v>
      </c>
      <c r="K41" s="46">
        <v>3.7749171999999998E-2</v>
      </c>
      <c r="L41" s="46" t="s">
        <v>31</v>
      </c>
      <c r="M41" s="46" t="s">
        <v>31</v>
      </c>
      <c r="N41" s="46" t="s">
        <v>31</v>
      </c>
    </row>
    <row r="42" spans="1:14">
      <c r="A42" s="338" t="s">
        <v>798</v>
      </c>
      <c r="B42" s="46">
        <v>8.9999999999999992E-5</v>
      </c>
      <c r="D42" s="46" t="s">
        <v>37</v>
      </c>
      <c r="E42" s="46" t="s">
        <v>43</v>
      </c>
      <c r="F42" s="46" t="s">
        <v>44</v>
      </c>
      <c r="G42" s="32" t="s">
        <v>29</v>
      </c>
      <c r="H42" s="46" t="s">
        <v>45</v>
      </c>
      <c r="I42" s="46">
        <v>2</v>
      </c>
      <c r="J42" s="46">
        <f t="shared" si="2"/>
        <v>-9.3157008876340086</v>
      </c>
      <c r="K42" s="46">
        <v>3.7749171999999998E-2</v>
      </c>
      <c r="L42" s="46" t="s">
        <v>31</v>
      </c>
      <c r="M42" s="46" t="s">
        <v>31</v>
      </c>
      <c r="N42" s="46" t="s">
        <v>31</v>
      </c>
    </row>
    <row r="43" spans="1:14">
      <c r="A43" s="338" t="s">
        <v>760</v>
      </c>
      <c r="B43" s="46">
        <v>3.3999999999999998E-3</v>
      </c>
      <c r="D43" s="46" t="s">
        <v>37</v>
      </c>
      <c r="E43" s="46" t="s">
        <v>43</v>
      </c>
      <c r="F43" s="46" t="s">
        <v>44</v>
      </c>
      <c r="G43" s="32" t="s">
        <v>29</v>
      </c>
      <c r="H43" s="46" t="s">
        <v>45</v>
      </c>
      <c r="I43" s="46">
        <v>2</v>
      </c>
      <c r="J43" s="46">
        <f t="shared" si="2"/>
        <v>-5.6839798473600212</v>
      </c>
      <c r="K43" s="46">
        <v>3.7749171999999998E-2</v>
      </c>
      <c r="L43" s="46" t="s">
        <v>31</v>
      </c>
      <c r="M43" s="46" t="s">
        <v>31</v>
      </c>
      <c r="N43" s="46" t="s">
        <v>31</v>
      </c>
    </row>
    <row r="44" spans="1:14">
      <c r="A44" s="46" t="s">
        <v>777</v>
      </c>
      <c r="B44" s="46">
        <v>1.4E-3</v>
      </c>
      <c r="D44" s="46" t="s">
        <v>37</v>
      </c>
      <c r="E44" s="46" t="s">
        <v>2</v>
      </c>
      <c r="F44" s="46" t="s">
        <v>29</v>
      </c>
      <c r="G44" s="32" t="s">
        <v>741</v>
      </c>
      <c r="H44" s="46" t="s">
        <v>33</v>
      </c>
      <c r="I44" s="46">
        <v>2</v>
      </c>
      <c r="J44" s="46">
        <f t="shared" si="2"/>
        <v>-6.5712830423609239</v>
      </c>
      <c r="K44" s="46">
        <v>3.7749171999999998E-2</v>
      </c>
      <c r="L44" s="46" t="s">
        <v>31</v>
      </c>
      <c r="M44" s="46" t="s">
        <v>31</v>
      </c>
      <c r="N44" s="46" t="s">
        <v>31</v>
      </c>
    </row>
    <row r="45" spans="1:14">
      <c r="A45" s="46" t="s">
        <v>783</v>
      </c>
      <c r="B45" s="46">
        <v>6.0000000000000002E-5</v>
      </c>
      <c r="D45" s="46" t="s">
        <v>37</v>
      </c>
      <c r="E45" s="46" t="s">
        <v>2</v>
      </c>
      <c r="F45" s="46" t="s">
        <v>29</v>
      </c>
      <c r="G45" s="46" t="s">
        <v>741</v>
      </c>
      <c r="H45" s="46" t="s">
        <v>33</v>
      </c>
      <c r="I45" s="46">
        <v>2</v>
      </c>
      <c r="J45" s="46">
        <f t="shared" si="2"/>
        <v>-9.7211659957421741</v>
      </c>
      <c r="K45" s="46">
        <v>3.7749171999999998E-2</v>
      </c>
      <c r="L45" s="46" t="s">
        <v>31</v>
      </c>
      <c r="M45" s="46" t="s">
        <v>31</v>
      </c>
      <c r="N45" s="46" t="s">
        <v>31</v>
      </c>
    </row>
    <row r="46" spans="1:14">
      <c r="A46" s="362" t="s">
        <v>5</v>
      </c>
      <c r="B46" s="363" t="s">
        <v>821</v>
      </c>
      <c r="C46" s="363"/>
      <c r="D46" s="364"/>
      <c r="E46" s="345"/>
      <c r="F46" s="345"/>
      <c r="G46" s="345"/>
      <c r="H46" s="345"/>
      <c r="I46" s="345"/>
      <c r="J46" s="345"/>
      <c r="K46" s="345"/>
      <c r="L46" s="345"/>
      <c r="M46" s="345"/>
      <c r="N46" s="345"/>
    </row>
    <row r="47" spans="1:14">
      <c r="A47" s="338" t="s">
        <v>7</v>
      </c>
      <c r="B47" s="46" t="s">
        <v>779</v>
      </c>
      <c r="D47" s="337"/>
    </row>
    <row r="48" spans="1:14">
      <c r="A48" s="338" t="s">
        <v>9</v>
      </c>
      <c r="B48" s="46" t="s">
        <v>822</v>
      </c>
      <c r="D48" s="337"/>
    </row>
    <row r="49" spans="1:20" ht="14.25" customHeight="1">
      <c r="A49" s="338" t="s">
        <v>11</v>
      </c>
      <c r="B49" s="339" t="s">
        <v>789</v>
      </c>
      <c r="C49" s="339"/>
    </row>
    <row r="50" spans="1:20">
      <c r="A50" s="338" t="s">
        <v>13</v>
      </c>
      <c r="B50" s="46" t="s">
        <v>14</v>
      </c>
    </row>
    <row r="51" spans="1:20">
      <c r="A51" s="338" t="s">
        <v>15</v>
      </c>
      <c r="B51" s="46">
        <v>1</v>
      </c>
    </row>
    <row r="52" spans="1:20">
      <c r="A52" s="338" t="s">
        <v>16</v>
      </c>
      <c r="B52" s="46" t="s">
        <v>17</v>
      </c>
    </row>
    <row r="53" spans="1:20">
      <c r="A53" s="338" t="s">
        <v>18</v>
      </c>
      <c r="B53" s="46" t="s">
        <v>18</v>
      </c>
    </row>
    <row r="54" spans="1:20">
      <c r="A54" s="335" t="s">
        <v>19</v>
      </c>
    </row>
    <row r="55" spans="1:20">
      <c r="A55" s="335" t="s">
        <v>20</v>
      </c>
      <c r="B55" s="336" t="s">
        <v>21</v>
      </c>
      <c r="C55" s="374" t="s">
        <v>198</v>
      </c>
      <c r="D55" s="336" t="s">
        <v>18</v>
      </c>
      <c r="E55" s="336" t="s">
        <v>22</v>
      </c>
      <c r="F55" s="336" t="s">
        <v>7</v>
      </c>
      <c r="G55" s="336" t="s">
        <v>13</v>
      </c>
      <c r="H55" s="336" t="s">
        <v>16</v>
      </c>
      <c r="I55" s="336" t="s">
        <v>23</v>
      </c>
      <c r="J55" s="336" t="s">
        <v>24</v>
      </c>
      <c r="K55" s="336" t="s">
        <v>25</v>
      </c>
      <c r="L55" s="336" t="s">
        <v>26</v>
      </c>
      <c r="M55" s="336" t="s">
        <v>27</v>
      </c>
      <c r="N55" s="336" t="s">
        <v>28</v>
      </c>
      <c r="O55" s="336" t="s">
        <v>11</v>
      </c>
    </row>
    <row r="56" spans="1:20">
      <c r="A56" s="338" t="s">
        <v>821</v>
      </c>
      <c r="B56" s="46">
        <v>1</v>
      </c>
      <c r="D56" s="46" t="s">
        <v>18</v>
      </c>
      <c r="E56" s="46" t="s">
        <v>2</v>
      </c>
      <c r="F56" s="46" t="s">
        <v>29</v>
      </c>
      <c r="G56" s="32" t="s">
        <v>14</v>
      </c>
      <c r="H56" s="46" t="s">
        <v>30</v>
      </c>
      <c r="I56" s="46">
        <v>1</v>
      </c>
      <c r="J56" s="46">
        <f>B56</f>
        <v>1</v>
      </c>
      <c r="K56" s="46" t="s">
        <v>31</v>
      </c>
      <c r="L56" s="46" t="s">
        <v>31</v>
      </c>
      <c r="M56" s="46" t="s">
        <v>31</v>
      </c>
      <c r="N56" s="46" t="s">
        <v>31</v>
      </c>
    </row>
    <row r="57" spans="1:20">
      <c r="A57" s="338" t="s">
        <v>800</v>
      </c>
      <c r="B57" s="46">
        <f>T57</f>
        <v>6.9999999999999993E-3</v>
      </c>
      <c r="D57" s="46" t="s">
        <v>113</v>
      </c>
      <c r="E57" s="46" t="s">
        <v>40</v>
      </c>
      <c r="F57" s="46" t="s">
        <v>29</v>
      </c>
      <c r="G57" s="32" t="s">
        <v>58</v>
      </c>
      <c r="H57" s="46" t="s">
        <v>33</v>
      </c>
      <c r="I57" s="46">
        <v>2</v>
      </c>
      <c r="J57" s="46">
        <f>LN(B57)</f>
        <v>-4.9618451299268242</v>
      </c>
      <c r="K57" s="46">
        <v>2.8722813232690055E-2</v>
      </c>
      <c r="L57" s="46" t="s">
        <v>31</v>
      </c>
      <c r="M57" s="46" t="s">
        <v>31</v>
      </c>
      <c r="N57" s="46" t="s">
        <v>31</v>
      </c>
      <c r="Q57" s="375" t="s">
        <v>801</v>
      </c>
      <c r="R57" s="376">
        <v>0.7</v>
      </c>
      <c r="S57" s="46" t="s">
        <v>605</v>
      </c>
      <c r="T57" s="46">
        <f>R57*0.01</f>
        <v>6.9999999999999993E-3</v>
      </c>
    </row>
    <row r="58" spans="1:20">
      <c r="A58" s="338" t="s">
        <v>802</v>
      </c>
      <c r="B58" s="46">
        <f t="shared" ref="B58:B70" si="3">T58</f>
        <v>3.7000000000000002E-3</v>
      </c>
      <c r="D58" s="46" t="s">
        <v>37</v>
      </c>
      <c r="E58" s="46" t="s">
        <v>40</v>
      </c>
      <c r="F58" s="46" t="s">
        <v>29</v>
      </c>
      <c r="G58" s="32" t="s">
        <v>58</v>
      </c>
      <c r="H58" s="46" t="s">
        <v>33</v>
      </c>
      <c r="I58" s="46">
        <v>2</v>
      </c>
      <c r="J58" s="46">
        <f t="shared" ref="J58:J70" si="4">LN(B58)</f>
        <v>-5.5994224593319579</v>
      </c>
      <c r="K58" s="46">
        <v>2.8722813232690055E-2</v>
      </c>
      <c r="L58" s="46" t="s">
        <v>31</v>
      </c>
      <c r="M58" s="46" t="s">
        <v>31</v>
      </c>
      <c r="N58" s="46" t="s">
        <v>31</v>
      </c>
      <c r="Q58" s="377" t="s">
        <v>575</v>
      </c>
      <c r="R58" s="378">
        <v>3.7</v>
      </c>
      <c r="S58" s="46" t="s">
        <v>221</v>
      </c>
      <c r="T58" s="46">
        <f>R58*0.001</f>
        <v>3.7000000000000002E-3</v>
      </c>
    </row>
    <row r="59" spans="1:20">
      <c r="A59" s="338" t="s">
        <v>803</v>
      </c>
      <c r="B59" s="46">
        <f t="shared" si="3"/>
        <v>1.9E-3</v>
      </c>
      <c r="D59" s="46" t="s">
        <v>37</v>
      </c>
      <c r="E59" s="46" t="s">
        <v>40</v>
      </c>
      <c r="F59" s="46" t="s">
        <v>29</v>
      </c>
      <c r="G59" s="32" t="s">
        <v>58</v>
      </c>
      <c r="H59" s="46" t="s">
        <v>33</v>
      </c>
      <c r="I59" s="46">
        <v>2</v>
      </c>
      <c r="J59" s="46">
        <f t="shared" si="4"/>
        <v>-6.2659013928097425</v>
      </c>
      <c r="K59" s="46">
        <v>2.8722813232690055E-2</v>
      </c>
      <c r="L59" s="46" t="s">
        <v>31</v>
      </c>
      <c r="M59" s="46" t="s">
        <v>31</v>
      </c>
      <c r="N59" s="46" t="s">
        <v>31</v>
      </c>
      <c r="Q59" s="375" t="s">
        <v>575</v>
      </c>
      <c r="R59" s="376">
        <v>1.9</v>
      </c>
      <c r="S59" s="46" t="s">
        <v>221</v>
      </c>
      <c r="T59" s="46">
        <f t="shared" ref="T59:T60" si="5">R59*0.001</f>
        <v>1.9E-3</v>
      </c>
    </row>
    <row r="60" spans="1:20">
      <c r="A60" s="338" t="s">
        <v>805</v>
      </c>
      <c r="B60" s="46">
        <f t="shared" si="3"/>
        <v>4.7999999999999996E-3</v>
      </c>
      <c r="D60" s="46" t="s">
        <v>37</v>
      </c>
      <c r="E60" s="46" t="s">
        <v>40</v>
      </c>
      <c r="F60" s="46" t="s">
        <v>29</v>
      </c>
      <c r="G60" s="32" t="s">
        <v>58</v>
      </c>
      <c r="H60" s="46" t="s">
        <v>33</v>
      </c>
      <c r="I60" s="46">
        <v>2</v>
      </c>
      <c r="J60" s="46">
        <f t="shared" si="4"/>
        <v>-5.339139361068292</v>
      </c>
      <c r="K60" s="46">
        <v>2.8722813232690055E-2</v>
      </c>
      <c r="L60" s="46" t="s">
        <v>31</v>
      </c>
      <c r="M60" s="46" t="s">
        <v>31</v>
      </c>
      <c r="N60" s="46" t="s">
        <v>31</v>
      </c>
      <c r="Q60" s="375" t="s">
        <v>575</v>
      </c>
      <c r="R60" s="378">
        <v>4.8</v>
      </c>
      <c r="S60" s="46" t="s">
        <v>221</v>
      </c>
      <c r="T60" s="46">
        <f t="shared" si="5"/>
        <v>4.7999999999999996E-3</v>
      </c>
    </row>
    <row r="61" spans="1:20">
      <c r="A61" s="46" t="s">
        <v>823</v>
      </c>
      <c r="B61" s="46">
        <f t="shared" si="3"/>
        <v>2.9999999999999997E-4</v>
      </c>
      <c r="D61" s="46" t="s">
        <v>37</v>
      </c>
      <c r="E61" s="46" t="s">
        <v>40</v>
      </c>
      <c r="F61" s="46" t="s">
        <v>29</v>
      </c>
      <c r="G61" s="32" t="s">
        <v>58</v>
      </c>
      <c r="H61" s="46" t="s">
        <v>33</v>
      </c>
      <c r="I61" s="46">
        <v>2</v>
      </c>
      <c r="J61" s="46">
        <f t="shared" si="4"/>
        <v>-8.1117280833080727</v>
      </c>
      <c r="K61" s="46">
        <v>2.8722813232690055E-2</v>
      </c>
      <c r="L61" s="46" t="s">
        <v>31</v>
      </c>
      <c r="M61" s="46" t="s">
        <v>31</v>
      </c>
      <c r="N61" s="46" t="s">
        <v>31</v>
      </c>
      <c r="Q61" s="377" t="s">
        <v>523</v>
      </c>
      <c r="R61" s="379">
        <v>300</v>
      </c>
      <c r="S61" s="46" t="s">
        <v>221</v>
      </c>
      <c r="T61" s="46">
        <f>R61*0.000001</f>
        <v>2.9999999999999997E-4</v>
      </c>
    </row>
    <row r="62" spans="1:20">
      <c r="A62" s="338" t="s">
        <v>806</v>
      </c>
      <c r="B62" s="46">
        <f t="shared" si="3"/>
        <v>1.1E-5</v>
      </c>
      <c r="D62" s="46" t="s">
        <v>37</v>
      </c>
      <c r="E62" s="46" t="s">
        <v>40</v>
      </c>
      <c r="F62" s="46" t="s">
        <v>29</v>
      </c>
      <c r="G62" s="32" t="s">
        <v>58</v>
      </c>
      <c r="H62" s="46" t="s">
        <v>33</v>
      </c>
      <c r="I62" s="46">
        <v>2</v>
      </c>
      <c r="J62" s="46">
        <f t="shared" si="4"/>
        <v>-11.417615285165903</v>
      </c>
      <c r="K62" s="46">
        <v>2.8722813232690055E-2</v>
      </c>
      <c r="L62" s="46" t="s">
        <v>31</v>
      </c>
      <c r="M62" s="46" t="s">
        <v>31</v>
      </c>
      <c r="N62" s="46" t="s">
        <v>31</v>
      </c>
      <c r="Q62" s="377" t="s">
        <v>523</v>
      </c>
      <c r="R62" s="379">
        <v>11</v>
      </c>
      <c r="S62" s="46" t="s">
        <v>221</v>
      </c>
      <c r="T62" s="46">
        <f>R62*0.000001</f>
        <v>1.1E-5</v>
      </c>
    </row>
    <row r="63" spans="1:20">
      <c r="A63" s="338" t="s">
        <v>807</v>
      </c>
      <c r="B63" s="46">
        <f t="shared" si="3"/>
        <v>5.4000000000000001E-4</v>
      </c>
      <c r="D63" s="46" t="s">
        <v>37</v>
      </c>
      <c r="E63" s="46" t="s">
        <v>40</v>
      </c>
      <c r="F63" s="46" t="s">
        <v>29</v>
      </c>
      <c r="G63" s="32" t="s">
        <v>58</v>
      </c>
      <c r="H63" s="46" t="s">
        <v>33</v>
      </c>
      <c r="I63" s="46">
        <v>2</v>
      </c>
      <c r="J63" s="46">
        <f t="shared" si="4"/>
        <v>-7.5239414184059541</v>
      </c>
      <c r="K63" s="46">
        <v>2.8722813232690055E-2</v>
      </c>
      <c r="L63" s="46" t="s">
        <v>31</v>
      </c>
      <c r="M63" s="46" t="s">
        <v>31</v>
      </c>
      <c r="N63" s="46" t="s">
        <v>31</v>
      </c>
      <c r="Q63" s="377" t="s">
        <v>523</v>
      </c>
      <c r="R63" s="379">
        <v>540</v>
      </c>
      <c r="S63" s="46" t="s">
        <v>221</v>
      </c>
      <c r="T63" s="46">
        <f>R63*0.000001</f>
        <v>5.4000000000000001E-4</v>
      </c>
    </row>
    <row r="64" spans="1:20">
      <c r="A64" s="338" t="s">
        <v>808</v>
      </c>
      <c r="B64" s="46">
        <f t="shared" si="3"/>
        <v>6.5000000000000006E-3</v>
      </c>
      <c r="D64" s="46" t="s">
        <v>37</v>
      </c>
      <c r="E64" s="46" t="s">
        <v>40</v>
      </c>
      <c r="F64" s="46" t="s">
        <v>29</v>
      </c>
      <c r="G64" s="32" t="s">
        <v>58</v>
      </c>
      <c r="H64" s="46" t="s">
        <v>33</v>
      </c>
      <c r="I64" s="46">
        <v>2</v>
      </c>
      <c r="J64" s="46">
        <f t="shared" si="4"/>
        <v>-5.0359531020805459</v>
      </c>
      <c r="K64" s="46">
        <v>2.8722813232690055E-2</v>
      </c>
      <c r="L64" s="46" t="s">
        <v>31</v>
      </c>
      <c r="M64" s="46" t="s">
        <v>31</v>
      </c>
      <c r="N64" s="46" t="s">
        <v>31</v>
      </c>
      <c r="Q64" s="377" t="s">
        <v>575</v>
      </c>
      <c r="R64" s="378">
        <v>6.5</v>
      </c>
      <c r="S64" s="46" t="s">
        <v>221</v>
      </c>
      <c r="T64" s="46">
        <f t="shared" ref="T64" si="6">R64*0.001</f>
        <v>6.5000000000000006E-3</v>
      </c>
    </row>
    <row r="65" spans="1:20">
      <c r="A65" s="47" t="s">
        <v>824</v>
      </c>
      <c r="B65" s="46">
        <f t="shared" si="3"/>
        <v>3.6000000000000001E-5</v>
      </c>
      <c r="D65" s="46" t="s">
        <v>37</v>
      </c>
      <c r="E65" s="46" t="s">
        <v>40</v>
      </c>
      <c r="F65" s="46" t="s">
        <v>29</v>
      </c>
      <c r="G65" s="32" t="s">
        <v>58</v>
      </c>
      <c r="H65" s="46" t="s">
        <v>33</v>
      </c>
      <c r="I65" s="46">
        <v>2</v>
      </c>
      <c r="J65" s="46">
        <f t="shared" si="4"/>
        <v>-10.231991619508165</v>
      </c>
      <c r="K65" s="46">
        <v>2.8722813232690055E-2</v>
      </c>
      <c r="L65" s="46" t="s">
        <v>31</v>
      </c>
      <c r="M65" s="46" t="s">
        <v>31</v>
      </c>
      <c r="N65" s="46" t="s">
        <v>31</v>
      </c>
      <c r="Q65" s="375" t="s">
        <v>523</v>
      </c>
      <c r="R65" s="380">
        <v>36</v>
      </c>
      <c r="S65" s="46" t="s">
        <v>221</v>
      </c>
      <c r="T65" s="46">
        <f>R65*0.000001</f>
        <v>3.6000000000000001E-5</v>
      </c>
    </row>
    <row r="66" spans="1:20">
      <c r="A66" s="338" t="s">
        <v>809</v>
      </c>
      <c r="B66" s="46">
        <f t="shared" si="3"/>
        <v>3.5E-4</v>
      </c>
      <c r="D66" s="46" t="s">
        <v>37</v>
      </c>
      <c r="E66" s="46" t="s">
        <v>40</v>
      </c>
      <c r="F66" s="46" t="s">
        <v>29</v>
      </c>
      <c r="G66" s="32" t="s">
        <v>58</v>
      </c>
      <c r="H66" s="46" t="s">
        <v>33</v>
      </c>
      <c r="I66" s="46">
        <v>2</v>
      </c>
      <c r="J66" s="46">
        <f t="shared" si="4"/>
        <v>-7.9575774034808147</v>
      </c>
      <c r="K66" s="46">
        <v>2.8722813232690055E-2</v>
      </c>
      <c r="L66" s="46" t="s">
        <v>31</v>
      </c>
      <c r="M66" s="46" t="s">
        <v>31</v>
      </c>
      <c r="N66" s="46" t="s">
        <v>31</v>
      </c>
      <c r="Q66" s="377" t="s">
        <v>523</v>
      </c>
      <c r="R66" s="379">
        <v>350</v>
      </c>
      <c r="S66" s="46" t="s">
        <v>221</v>
      </c>
      <c r="T66" s="46">
        <f>R66*0.000001</f>
        <v>3.5E-4</v>
      </c>
    </row>
    <row r="67" spans="1:20">
      <c r="A67" s="47" t="s">
        <v>825</v>
      </c>
      <c r="B67" s="46">
        <f t="shared" si="3"/>
        <v>1.8E-5</v>
      </c>
      <c r="D67" s="46" t="s">
        <v>37</v>
      </c>
      <c r="E67" s="46" t="s">
        <v>40</v>
      </c>
      <c r="F67" s="46" t="s">
        <v>29</v>
      </c>
      <c r="G67" s="32" t="s">
        <v>58</v>
      </c>
      <c r="H67" s="46" t="s">
        <v>33</v>
      </c>
      <c r="I67" s="46">
        <v>2</v>
      </c>
      <c r="J67" s="46">
        <f t="shared" si="4"/>
        <v>-10.92513880006811</v>
      </c>
      <c r="K67" s="46">
        <v>2.8722813232690055E-2</v>
      </c>
      <c r="L67" s="46" t="s">
        <v>31</v>
      </c>
      <c r="M67" s="46" t="s">
        <v>31</v>
      </c>
      <c r="N67" s="46" t="s">
        <v>31</v>
      </c>
      <c r="Q67" s="375" t="s">
        <v>523</v>
      </c>
      <c r="R67" s="380">
        <v>18</v>
      </c>
      <c r="S67" s="46" t="s">
        <v>221</v>
      </c>
      <c r="T67" s="46">
        <f>R67*0.000001</f>
        <v>1.8E-5</v>
      </c>
    </row>
    <row r="68" spans="1:20">
      <c r="A68" s="47" t="s">
        <v>826</v>
      </c>
      <c r="B68" s="46">
        <f t="shared" si="3"/>
        <v>5.7000000000000002E-3</v>
      </c>
      <c r="D68" s="46" t="s">
        <v>37</v>
      </c>
      <c r="E68" s="46" t="s">
        <v>40</v>
      </c>
      <c r="F68" s="46" t="s">
        <v>29</v>
      </c>
      <c r="G68" s="32" t="s">
        <v>58</v>
      </c>
      <c r="H68" s="46" t="s">
        <v>33</v>
      </c>
      <c r="I68" s="46">
        <v>2</v>
      </c>
      <c r="J68" s="46">
        <f t="shared" si="4"/>
        <v>-5.1672891041416324</v>
      </c>
      <c r="K68" s="46">
        <v>2.8722813232690055E-2</v>
      </c>
      <c r="L68" s="46" t="s">
        <v>31</v>
      </c>
      <c r="M68" s="46" t="s">
        <v>31</v>
      </c>
      <c r="N68" s="46" t="s">
        <v>31</v>
      </c>
      <c r="Q68" s="377" t="s">
        <v>575</v>
      </c>
      <c r="R68" s="378">
        <v>5.7</v>
      </c>
      <c r="S68" s="46" t="s">
        <v>221</v>
      </c>
      <c r="T68" s="46">
        <f>R68*0.001</f>
        <v>5.7000000000000002E-3</v>
      </c>
    </row>
    <row r="69" spans="1:20">
      <c r="A69" s="338" t="s">
        <v>810</v>
      </c>
      <c r="B69" s="46">
        <f t="shared" si="3"/>
        <v>2.9999999999999997E-4</v>
      </c>
      <c r="D69" s="46" t="s">
        <v>37</v>
      </c>
      <c r="E69" s="46" t="s">
        <v>40</v>
      </c>
      <c r="F69" s="46" t="s">
        <v>29</v>
      </c>
      <c r="G69" s="32" t="s">
        <v>58</v>
      </c>
      <c r="H69" s="46" t="s">
        <v>33</v>
      </c>
      <c r="I69" s="46">
        <v>2</v>
      </c>
      <c r="J69" s="46">
        <f t="shared" si="4"/>
        <v>-8.1117280833080727</v>
      </c>
      <c r="K69" s="46">
        <v>2.8722813232690055E-2</v>
      </c>
      <c r="L69" s="46" t="s">
        <v>31</v>
      </c>
      <c r="M69" s="46" t="s">
        <v>31</v>
      </c>
      <c r="N69" s="46" t="s">
        <v>31</v>
      </c>
      <c r="Q69" s="375" t="s">
        <v>523</v>
      </c>
      <c r="R69" s="380">
        <v>300</v>
      </c>
      <c r="S69" s="46" t="s">
        <v>221</v>
      </c>
      <c r="T69" s="46">
        <f>R69*0.000001</f>
        <v>2.9999999999999997E-4</v>
      </c>
    </row>
    <row r="70" spans="1:20">
      <c r="A70" s="338" t="s">
        <v>812</v>
      </c>
      <c r="B70" s="46">
        <f t="shared" si="3"/>
        <v>5.4000000000000001E-4</v>
      </c>
      <c r="D70" s="46" t="s">
        <v>37</v>
      </c>
      <c r="E70" s="46" t="s">
        <v>40</v>
      </c>
      <c r="F70" s="46" t="s">
        <v>29</v>
      </c>
      <c r="G70" s="32" t="s">
        <v>58</v>
      </c>
      <c r="H70" s="46" t="s">
        <v>33</v>
      </c>
      <c r="I70" s="46">
        <v>2</v>
      </c>
      <c r="J70" s="46">
        <f t="shared" si="4"/>
        <v>-7.5239414184059541</v>
      </c>
      <c r="K70" s="46">
        <v>2.8722813232690055E-2</v>
      </c>
      <c r="L70" s="46" t="s">
        <v>31</v>
      </c>
      <c r="M70" s="46" t="s">
        <v>31</v>
      </c>
      <c r="N70" s="46" t="s">
        <v>31</v>
      </c>
      <c r="Q70" s="377" t="s">
        <v>523</v>
      </c>
      <c r="R70" s="379">
        <v>540</v>
      </c>
      <c r="S70" s="46" t="s">
        <v>221</v>
      </c>
      <c r="T70" s="46">
        <f>R70*0.000001</f>
        <v>5.4000000000000001E-4</v>
      </c>
    </row>
    <row r="75" spans="1:20">
      <c r="B75" s="373"/>
      <c r="C75" s="373"/>
    </row>
  </sheetData>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29D0F-9FB3-476B-88C0-AC83E0789CF8}">
  <sheetPr>
    <tabColor theme="9"/>
  </sheetPr>
  <dimension ref="A1:U56"/>
  <sheetViews>
    <sheetView zoomScale="70" zoomScaleNormal="70" workbookViewId="0">
      <selection activeCell="I13" sqref="I13:I2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62" t="s">
        <v>5</v>
      </c>
      <c r="B2" s="363" t="s">
        <v>769</v>
      </c>
      <c r="C2" s="364"/>
      <c r="D2" s="345"/>
      <c r="E2" s="345"/>
      <c r="F2" s="345"/>
      <c r="G2" s="345"/>
      <c r="H2" s="345"/>
      <c r="I2" s="345"/>
      <c r="J2" s="345"/>
      <c r="K2" s="345"/>
      <c r="L2" s="345"/>
      <c r="M2" s="345"/>
      <c r="N2" s="46"/>
      <c r="O2" s="46"/>
      <c r="P2" s="46"/>
      <c r="Q2" s="46"/>
      <c r="R2" s="46"/>
      <c r="S2" s="46"/>
      <c r="T2" s="46"/>
      <c r="U2" s="46"/>
    </row>
    <row r="3" spans="1:21">
      <c r="A3" s="338" t="s">
        <v>7</v>
      </c>
      <c r="B3" s="46" t="s">
        <v>779</v>
      </c>
      <c r="C3" s="337"/>
      <c r="D3" s="46"/>
      <c r="E3" s="46"/>
      <c r="F3" s="46"/>
      <c r="G3" s="46"/>
      <c r="H3" s="46"/>
      <c r="I3" s="46"/>
      <c r="J3" s="46"/>
      <c r="K3" s="46"/>
      <c r="L3" s="46"/>
      <c r="M3" s="46"/>
      <c r="N3" s="46"/>
      <c r="O3" s="46"/>
      <c r="P3" s="46"/>
      <c r="Q3" s="46"/>
      <c r="R3" s="46"/>
      <c r="S3" s="46"/>
      <c r="T3" s="46"/>
      <c r="U3" s="46"/>
    </row>
    <row r="4" spans="1:21">
      <c r="A4" s="338" t="s">
        <v>9</v>
      </c>
      <c r="B4" s="46" t="s">
        <v>827</v>
      </c>
      <c r="C4" s="337"/>
      <c r="D4" s="46"/>
      <c r="E4" s="46"/>
      <c r="F4" s="46"/>
      <c r="G4" s="46"/>
      <c r="H4" s="46"/>
      <c r="I4" s="46"/>
      <c r="J4" s="46"/>
      <c r="K4" s="46"/>
      <c r="L4" s="46"/>
      <c r="M4" s="46"/>
      <c r="N4" s="46"/>
      <c r="O4" s="46"/>
      <c r="P4" s="46"/>
      <c r="Q4" s="46"/>
      <c r="R4" s="46"/>
      <c r="S4" s="46"/>
      <c r="T4" s="46"/>
      <c r="U4" s="46"/>
    </row>
    <row r="5" spans="1:21" ht="26.25">
      <c r="A5" s="338" t="s">
        <v>11</v>
      </c>
      <c r="B5" s="339" t="s">
        <v>828</v>
      </c>
      <c r="C5" s="46"/>
      <c r="D5" s="46"/>
      <c r="E5" s="46"/>
      <c r="F5" s="46"/>
      <c r="G5" s="46"/>
      <c r="H5" s="46"/>
      <c r="I5" s="46"/>
      <c r="J5" s="46"/>
      <c r="K5" s="46"/>
      <c r="L5" s="46"/>
      <c r="M5" s="46"/>
      <c r="N5" s="46"/>
      <c r="O5" s="46"/>
      <c r="P5" s="46"/>
      <c r="Q5" s="46"/>
      <c r="R5" s="46"/>
      <c r="S5" s="46"/>
      <c r="T5" s="46"/>
      <c r="U5" s="46"/>
    </row>
    <row r="6" spans="1:21">
      <c r="A6" s="338" t="s">
        <v>13</v>
      </c>
      <c r="B6" s="46" t="s">
        <v>14</v>
      </c>
      <c r="C6" s="46"/>
      <c r="D6" s="46"/>
      <c r="E6" s="46"/>
      <c r="F6" s="46"/>
      <c r="G6" s="46"/>
      <c r="H6" s="46"/>
      <c r="I6" s="46"/>
      <c r="J6" s="46"/>
      <c r="K6" s="46"/>
      <c r="L6" s="46"/>
      <c r="M6" s="46"/>
      <c r="N6" s="46"/>
      <c r="O6" s="46"/>
      <c r="P6" s="46"/>
      <c r="Q6" s="46"/>
      <c r="R6" s="46"/>
      <c r="S6" s="46"/>
      <c r="T6" s="46"/>
      <c r="U6" s="46"/>
    </row>
    <row r="7" spans="1:21">
      <c r="A7" s="338" t="s">
        <v>15</v>
      </c>
      <c r="B7" s="46">
        <v>1</v>
      </c>
      <c r="C7" s="46"/>
      <c r="D7" s="46"/>
      <c r="E7" s="46"/>
      <c r="F7" s="46"/>
      <c r="G7" s="46"/>
      <c r="H7" s="46"/>
      <c r="I7" s="46"/>
      <c r="J7" s="46"/>
      <c r="K7" s="46"/>
      <c r="L7" s="46"/>
      <c r="M7" s="46"/>
      <c r="N7" s="46"/>
      <c r="O7" s="46"/>
      <c r="P7" s="46"/>
      <c r="Q7" s="46"/>
      <c r="R7" s="46"/>
      <c r="S7" s="46"/>
      <c r="T7" s="46"/>
      <c r="U7" s="46"/>
    </row>
    <row r="8" spans="1:21">
      <c r="A8" s="338" t="s">
        <v>16</v>
      </c>
      <c r="B8" s="46" t="s">
        <v>17</v>
      </c>
      <c r="C8" s="46"/>
      <c r="D8" s="46"/>
      <c r="E8" s="46"/>
      <c r="F8" s="46"/>
      <c r="G8" s="46"/>
      <c r="H8" s="46"/>
      <c r="I8" s="46"/>
      <c r="J8" s="46"/>
      <c r="K8" s="46"/>
      <c r="L8" s="46"/>
      <c r="M8" s="46"/>
      <c r="N8" s="46"/>
      <c r="O8" s="46"/>
      <c r="P8" s="46"/>
      <c r="Q8" s="46"/>
      <c r="R8" s="46"/>
      <c r="S8" s="46"/>
      <c r="T8" s="46"/>
      <c r="U8" s="46"/>
    </row>
    <row r="9" spans="1:21">
      <c r="A9" s="338" t="s">
        <v>18</v>
      </c>
      <c r="B9" s="46" t="s">
        <v>18</v>
      </c>
      <c r="C9" s="46"/>
      <c r="D9" s="46"/>
      <c r="E9" s="46"/>
      <c r="F9" s="46"/>
      <c r="G9" s="46"/>
      <c r="H9" s="46"/>
      <c r="I9" s="46"/>
      <c r="J9" s="46"/>
      <c r="K9" s="46"/>
      <c r="L9" s="46"/>
      <c r="M9" s="46"/>
      <c r="N9" s="46"/>
      <c r="O9" s="46"/>
      <c r="P9" s="46"/>
      <c r="Q9" s="46"/>
      <c r="R9" s="46"/>
      <c r="S9" s="46"/>
      <c r="T9" s="46"/>
      <c r="U9" s="46"/>
    </row>
    <row r="10" spans="1:21">
      <c r="A10" s="335" t="s">
        <v>19</v>
      </c>
      <c r="B10" s="46"/>
      <c r="C10" s="46"/>
      <c r="D10" s="46"/>
      <c r="E10" s="46"/>
      <c r="F10" s="46"/>
      <c r="G10" s="46"/>
      <c r="H10" s="46"/>
      <c r="I10" s="46"/>
      <c r="J10" s="46"/>
      <c r="K10" s="46"/>
      <c r="L10" s="46"/>
      <c r="M10" s="46"/>
      <c r="N10" s="46"/>
      <c r="O10" s="46"/>
      <c r="P10" s="46"/>
      <c r="Q10" s="46"/>
      <c r="R10" s="46"/>
      <c r="S10" s="46"/>
      <c r="T10" s="46"/>
      <c r="U10" s="46"/>
    </row>
    <row r="11" spans="1:21">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c r="O11" s="46"/>
      <c r="P11" s="46"/>
      <c r="Q11" s="46"/>
      <c r="R11" s="46"/>
      <c r="S11" s="46"/>
      <c r="T11" s="46"/>
      <c r="U11" s="46"/>
    </row>
    <row r="12" spans="1:21">
      <c r="A12" s="363" t="s">
        <v>769</v>
      </c>
      <c r="B12" s="46">
        <v>1</v>
      </c>
      <c r="C12" s="46" t="s">
        <v>18</v>
      </c>
      <c r="D12" s="46" t="s">
        <v>2</v>
      </c>
      <c r="E12" s="46" t="s">
        <v>29</v>
      </c>
      <c r="F12" s="32" t="s">
        <v>14</v>
      </c>
      <c r="G12" s="46" t="s">
        <v>30</v>
      </c>
      <c r="H12" s="46">
        <v>1</v>
      </c>
      <c r="I12" s="46">
        <v>1</v>
      </c>
      <c r="J12" s="46" t="s">
        <v>31</v>
      </c>
      <c r="K12" s="46" t="s">
        <v>31</v>
      </c>
      <c r="L12" s="46" t="s">
        <v>31</v>
      </c>
      <c r="M12" s="46" t="s">
        <v>31</v>
      </c>
      <c r="N12" s="46"/>
      <c r="O12" s="46" t="s">
        <v>202</v>
      </c>
      <c r="P12" s="46"/>
      <c r="Q12" s="46"/>
      <c r="R12" s="46"/>
      <c r="S12" s="46"/>
      <c r="T12" s="46"/>
      <c r="U12" s="46"/>
    </row>
    <row r="13" spans="1:21">
      <c r="A13" s="387" t="s">
        <v>787</v>
      </c>
      <c r="B13" s="46">
        <v>7.7843999999999997E-2</v>
      </c>
      <c r="C13" s="46" t="s">
        <v>37</v>
      </c>
      <c r="D13" s="46" t="s">
        <v>2</v>
      </c>
      <c r="E13" s="46" t="s">
        <v>29</v>
      </c>
      <c r="F13" s="32" t="s">
        <v>14</v>
      </c>
      <c r="G13" s="46" t="s">
        <v>33</v>
      </c>
      <c r="H13" s="46">
        <v>1</v>
      </c>
      <c r="I13" s="46">
        <f>B13</f>
        <v>7.7843999999999997E-2</v>
      </c>
      <c r="J13" s="46" t="s">
        <v>31</v>
      </c>
      <c r="K13" s="46" t="s">
        <v>31</v>
      </c>
      <c r="L13" s="46" t="s">
        <v>31</v>
      </c>
      <c r="M13" s="46" t="s">
        <v>31</v>
      </c>
      <c r="N13" s="46"/>
      <c r="O13" s="46" t="s">
        <v>202</v>
      </c>
      <c r="P13" s="388" t="s">
        <v>575</v>
      </c>
      <c r="Q13" s="389">
        <v>78</v>
      </c>
      <c r="R13" s="46" t="str">
        <f>C13</f>
        <v>kilogram</v>
      </c>
      <c r="S13" s="46">
        <f>0.001*Q13</f>
        <v>7.8E-2</v>
      </c>
      <c r="T13" s="46"/>
      <c r="U13" s="46"/>
    </row>
    <row r="14" spans="1:21">
      <c r="A14" s="387" t="s">
        <v>813</v>
      </c>
      <c r="B14" s="46">
        <v>9.8095000000000002E-2</v>
      </c>
      <c r="C14" s="46" t="s">
        <v>37</v>
      </c>
      <c r="D14" s="46" t="s">
        <v>2</v>
      </c>
      <c r="E14" s="46" t="s">
        <v>29</v>
      </c>
      <c r="F14" s="32" t="s">
        <v>14</v>
      </c>
      <c r="G14" s="46" t="s">
        <v>33</v>
      </c>
      <c r="H14" s="46">
        <v>1</v>
      </c>
      <c r="I14" s="46">
        <f t="shared" ref="I14:I29" si="0">B14</f>
        <v>9.8095000000000002E-2</v>
      </c>
      <c r="J14" s="46" t="s">
        <v>31</v>
      </c>
      <c r="K14" s="46" t="s">
        <v>31</v>
      </c>
      <c r="L14" s="46" t="s">
        <v>31</v>
      </c>
      <c r="M14" s="46" t="s">
        <v>31</v>
      </c>
      <c r="N14" s="46"/>
      <c r="O14" s="46" t="s">
        <v>202</v>
      </c>
      <c r="P14" s="388" t="s">
        <v>575</v>
      </c>
      <c r="Q14" s="389">
        <v>98</v>
      </c>
      <c r="R14" s="46" t="str">
        <f t="shared" ref="R14:R27" si="1">C14</f>
        <v>kilogram</v>
      </c>
      <c r="S14" s="46">
        <f>0.001*Q14</f>
        <v>9.8000000000000004E-2</v>
      </c>
      <c r="T14" s="46"/>
      <c r="U14" s="46"/>
    </row>
    <row r="15" spans="1:21">
      <c r="A15" s="390" t="s">
        <v>829</v>
      </c>
      <c r="B15" s="46">
        <v>0.26748225000000003</v>
      </c>
      <c r="C15" s="46" t="s">
        <v>37</v>
      </c>
      <c r="D15" s="46" t="s">
        <v>40</v>
      </c>
      <c r="E15" s="46" t="s">
        <v>29</v>
      </c>
      <c r="F15" s="32" t="s">
        <v>58</v>
      </c>
      <c r="G15" s="46" t="s">
        <v>33</v>
      </c>
      <c r="H15" s="46">
        <v>1</v>
      </c>
      <c r="I15" s="46">
        <f t="shared" si="0"/>
        <v>0.26748225000000003</v>
      </c>
      <c r="J15" s="46" t="s">
        <v>31</v>
      </c>
      <c r="K15" s="46" t="s">
        <v>31</v>
      </c>
      <c r="L15" s="46" t="s">
        <v>31</v>
      </c>
      <c r="M15" s="46" t="s">
        <v>31</v>
      </c>
      <c r="N15" s="46"/>
      <c r="O15" s="46" t="s">
        <v>202</v>
      </c>
      <c r="P15" s="388" t="s">
        <v>221</v>
      </c>
      <c r="Q15" s="389">
        <v>0.1</v>
      </c>
      <c r="R15" s="46" t="str">
        <f t="shared" si="1"/>
        <v>kilogram</v>
      </c>
      <c r="S15" s="46">
        <f>Q15</f>
        <v>0.1</v>
      </c>
      <c r="T15" s="46"/>
      <c r="U15" s="46"/>
    </row>
    <row r="16" spans="1:21">
      <c r="A16" s="387" t="s">
        <v>830</v>
      </c>
      <c r="B16" s="46">
        <v>0.31379100000000004</v>
      </c>
      <c r="C16" s="46" t="s">
        <v>37</v>
      </c>
      <c r="D16" s="46" t="s">
        <v>2</v>
      </c>
      <c r="E16" s="46" t="s">
        <v>29</v>
      </c>
      <c r="F16" s="32" t="s">
        <v>14</v>
      </c>
      <c r="G16" s="46" t="s">
        <v>33</v>
      </c>
      <c r="H16" s="46">
        <v>1</v>
      </c>
      <c r="I16" s="46">
        <f t="shared" si="0"/>
        <v>0.31379100000000004</v>
      </c>
      <c r="J16" s="46" t="s">
        <v>31</v>
      </c>
      <c r="K16" s="46" t="s">
        <v>31</v>
      </c>
      <c r="L16" s="46" t="s">
        <v>31</v>
      </c>
      <c r="M16" s="46" t="s">
        <v>31</v>
      </c>
      <c r="N16" s="46"/>
      <c r="O16" s="46" t="s">
        <v>202</v>
      </c>
      <c r="P16" s="388" t="s">
        <v>221</v>
      </c>
      <c r="Q16" s="389">
        <v>0.9</v>
      </c>
      <c r="R16" s="46" t="str">
        <f t="shared" si="1"/>
        <v>kilogram</v>
      </c>
      <c r="S16" s="46">
        <f>Q16</f>
        <v>0.9</v>
      </c>
      <c r="T16" s="46"/>
      <c r="U16" s="46"/>
    </row>
    <row r="17" spans="1:21">
      <c r="A17" s="391" t="s">
        <v>831</v>
      </c>
      <c r="B17" s="46">
        <f>S17</f>
        <v>4.9000000000000002E-2</v>
      </c>
      <c r="C17" s="46" t="s">
        <v>113</v>
      </c>
      <c r="D17" s="46" t="s">
        <v>2</v>
      </c>
      <c r="E17" s="46" t="s">
        <v>29</v>
      </c>
      <c r="F17" s="32" t="s">
        <v>14</v>
      </c>
      <c r="G17" s="46" t="s">
        <v>33</v>
      </c>
      <c r="H17" s="46">
        <v>1</v>
      </c>
      <c r="I17" s="46">
        <f t="shared" si="0"/>
        <v>4.9000000000000002E-2</v>
      </c>
      <c r="J17" s="46" t="s">
        <v>31</v>
      </c>
      <c r="K17" s="46" t="s">
        <v>31</v>
      </c>
      <c r="L17" s="46" t="s">
        <v>31</v>
      </c>
      <c r="M17" s="46" t="s">
        <v>31</v>
      </c>
      <c r="N17" s="46"/>
      <c r="O17" s="46" t="s">
        <v>202</v>
      </c>
      <c r="P17" s="388" t="s">
        <v>575</v>
      </c>
      <c r="Q17" s="389">
        <v>245</v>
      </c>
      <c r="R17" s="46" t="str">
        <f t="shared" si="1"/>
        <v>square meter</v>
      </c>
      <c r="S17" s="46">
        <f>(Q17*0.001)*T17</f>
        <v>4.9000000000000002E-2</v>
      </c>
      <c r="T17" s="369">
        <f>'2A. Reusable'!O37</f>
        <v>0.2</v>
      </c>
      <c r="U17" s="369" t="s">
        <v>832</v>
      </c>
    </row>
    <row r="18" spans="1:21">
      <c r="A18" s="387" t="s">
        <v>833</v>
      </c>
      <c r="B18" s="46">
        <v>0.38606000000000001</v>
      </c>
      <c r="C18" s="46" t="s">
        <v>37</v>
      </c>
      <c r="D18" s="46" t="s">
        <v>2</v>
      </c>
      <c r="E18" s="46" t="s">
        <v>29</v>
      </c>
      <c r="F18" s="32" t="s">
        <v>14</v>
      </c>
      <c r="G18" s="46" t="s">
        <v>33</v>
      </c>
      <c r="H18" s="46">
        <v>1</v>
      </c>
      <c r="I18" s="46">
        <f t="shared" si="0"/>
        <v>0.38606000000000001</v>
      </c>
      <c r="J18" s="46" t="s">
        <v>31</v>
      </c>
      <c r="K18" s="46" t="s">
        <v>31</v>
      </c>
      <c r="L18" s="46" t="s">
        <v>31</v>
      </c>
      <c r="M18" s="46" t="s">
        <v>31</v>
      </c>
      <c r="N18" s="46"/>
      <c r="O18" s="46" t="s">
        <v>202</v>
      </c>
      <c r="P18" s="388" t="s">
        <v>575</v>
      </c>
      <c r="Q18" s="389">
        <v>507</v>
      </c>
      <c r="R18" s="46" t="str">
        <f t="shared" si="1"/>
        <v>kilogram</v>
      </c>
      <c r="S18" s="46">
        <f t="shared" ref="S18:S21" si="2">0.001*Q18</f>
        <v>0.50700000000000001</v>
      </c>
      <c r="T18" s="46"/>
      <c r="U18" s="46"/>
    </row>
    <row r="19" spans="1:21">
      <c r="A19" s="15" t="s">
        <v>834</v>
      </c>
      <c r="B19" s="46">
        <v>3.98E-3</v>
      </c>
      <c r="C19" s="46" t="s">
        <v>37</v>
      </c>
      <c r="D19" s="46" t="s">
        <v>40</v>
      </c>
      <c r="E19" s="46" t="s">
        <v>29</v>
      </c>
      <c r="F19" s="32" t="s">
        <v>35</v>
      </c>
      <c r="G19" s="46" t="s">
        <v>33</v>
      </c>
      <c r="H19" s="46">
        <v>1</v>
      </c>
      <c r="I19" s="46">
        <f t="shared" si="0"/>
        <v>3.98E-3</v>
      </c>
      <c r="J19" s="46" t="s">
        <v>31</v>
      </c>
      <c r="K19" s="46" t="s">
        <v>31</v>
      </c>
      <c r="L19" s="46" t="s">
        <v>31</v>
      </c>
      <c r="M19" s="46" t="s">
        <v>31</v>
      </c>
      <c r="N19" s="338" t="s">
        <v>835</v>
      </c>
      <c r="O19" s="46" t="s">
        <v>202</v>
      </c>
      <c r="P19" s="388" t="s">
        <v>575</v>
      </c>
      <c r="Q19" s="389">
        <v>3</v>
      </c>
      <c r="R19" s="46" t="str">
        <f t="shared" si="1"/>
        <v>kilogram</v>
      </c>
      <c r="S19" s="46">
        <f t="shared" si="2"/>
        <v>3.0000000000000001E-3</v>
      </c>
      <c r="T19" s="46"/>
      <c r="U19" s="46"/>
    </row>
    <row r="20" spans="1:21">
      <c r="A20" s="15" t="s">
        <v>601</v>
      </c>
      <c r="B20" s="46">
        <v>1.592E-2</v>
      </c>
      <c r="C20" s="46" t="s">
        <v>37</v>
      </c>
      <c r="D20" s="46" t="s">
        <v>40</v>
      </c>
      <c r="E20" s="46" t="s">
        <v>29</v>
      </c>
      <c r="F20" s="32" t="s">
        <v>35</v>
      </c>
      <c r="G20" s="46" t="s">
        <v>33</v>
      </c>
      <c r="H20" s="46">
        <v>1</v>
      </c>
      <c r="I20" s="46">
        <f t="shared" si="0"/>
        <v>1.592E-2</v>
      </c>
      <c r="J20" s="46" t="s">
        <v>31</v>
      </c>
      <c r="K20" s="46" t="s">
        <v>31</v>
      </c>
      <c r="L20" s="46" t="s">
        <v>31</v>
      </c>
      <c r="M20" s="46" t="s">
        <v>31</v>
      </c>
      <c r="N20" s="338" t="s">
        <v>836</v>
      </c>
      <c r="O20" s="46" t="s">
        <v>202</v>
      </c>
      <c r="P20" s="388" t="s">
        <v>575</v>
      </c>
      <c r="Q20" s="389">
        <v>16</v>
      </c>
      <c r="R20" s="46" t="str">
        <f t="shared" si="1"/>
        <v>kilogram</v>
      </c>
      <c r="S20" s="46">
        <f t="shared" si="2"/>
        <v>1.6E-2</v>
      </c>
      <c r="T20" s="46"/>
      <c r="U20" s="46"/>
    </row>
    <row r="21" spans="1:21">
      <c r="A21" s="15" t="s">
        <v>601</v>
      </c>
      <c r="B21" s="46">
        <v>2E-3</v>
      </c>
      <c r="C21" s="46" t="s">
        <v>37</v>
      </c>
      <c r="D21" s="46" t="s">
        <v>40</v>
      </c>
      <c r="E21" s="46" t="s">
        <v>29</v>
      </c>
      <c r="F21" s="32" t="s">
        <v>35</v>
      </c>
      <c r="G21" s="46" t="s">
        <v>33</v>
      </c>
      <c r="H21" s="46">
        <v>1</v>
      </c>
      <c r="I21" s="46">
        <f t="shared" si="0"/>
        <v>2E-3</v>
      </c>
      <c r="J21" s="46" t="s">
        <v>31</v>
      </c>
      <c r="K21" s="46" t="s">
        <v>31</v>
      </c>
      <c r="L21" s="46" t="s">
        <v>31</v>
      </c>
      <c r="M21" s="46" t="s">
        <v>31</v>
      </c>
      <c r="N21" s="140" t="s">
        <v>837</v>
      </c>
      <c r="O21" s="46" t="s">
        <v>202</v>
      </c>
      <c r="P21" s="388" t="s">
        <v>575</v>
      </c>
      <c r="Q21" s="389">
        <v>2</v>
      </c>
      <c r="R21" s="46" t="str">
        <f t="shared" si="1"/>
        <v>kilogram</v>
      </c>
      <c r="S21" s="46">
        <f t="shared" si="2"/>
        <v>2E-3</v>
      </c>
      <c r="T21" s="46"/>
      <c r="U21" s="46"/>
    </row>
    <row r="22" spans="1:21">
      <c r="A22" s="390" t="s">
        <v>838</v>
      </c>
      <c r="B22" s="46">
        <v>4.2345067071908438E-2</v>
      </c>
      <c r="C22" s="46" t="s">
        <v>37</v>
      </c>
      <c r="D22" s="46" t="s">
        <v>2</v>
      </c>
      <c r="E22" s="46" t="s">
        <v>29</v>
      </c>
      <c r="F22" s="32" t="s">
        <v>14</v>
      </c>
      <c r="G22" s="46" t="s">
        <v>33</v>
      </c>
      <c r="H22" s="46">
        <v>1</v>
      </c>
      <c r="I22" s="46">
        <f t="shared" si="0"/>
        <v>4.2345067071908438E-2</v>
      </c>
      <c r="J22" s="46" t="s">
        <v>31</v>
      </c>
      <c r="K22" s="46" t="s">
        <v>31</v>
      </c>
      <c r="L22" s="46" t="s">
        <v>31</v>
      </c>
      <c r="M22" s="46" t="s">
        <v>31</v>
      </c>
      <c r="N22" s="338"/>
      <c r="O22" s="46" t="s">
        <v>202</v>
      </c>
      <c r="P22" s="388" t="s">
        <v>221</v>
      </c>
      <c r="Q22" s="389">
        <v>0.04</v>
      </c>
      <c r="R22" s="46" t="str">
        <f t="shared" si="1"/>
        <v>kilogram</v>
      </c>
      <c r="S22" s="46">
        <f>Q22</f>
        <v>0.04</v>
      </c>
      <c r="T22" s="46"/>
      <c r="U22" s="46"/>
    </row>
    <row r="23" spans="1:21">
      <c r="A23" s="387" t="s">
        <v>839</v>
      </c>
      <c r="B23" s="350">
        <f>'2A. Machined casing'!B7</f>
        <v>3.15</v>
      </c>
      <c r="C23" s="46" t="s">
        <v>37</v>
      </c>
      <c r="D23" s="46" t="s">
        <v>2</v>
      </c>
      <c r="E23" s="46" t="s">
        <v>29</v>
      </c>
      <c r="F23" s="32" t="s">
        <v>14</v>
      </c>
      <c r="G23" s="46" t="s">
        <v>33</v>
      </c>
      <c r="H23" s="46">
        <v>1</v>
      </c>
      <c r="I23" s="46">
        <f t="shared" si="0"/>
        <v>3.15</v>
      </c>
      <c r="J23" s="46" t="s">
        <v>31</v>
      </c>
      <c r="K23" s="46" t="s">
        <v>31</v>
      </c>
      <c r="L23" s="46" t="s">
        <v>31</v>
      </c>
      <c r="M23" s="46" t="s">
        <v>31</v>
      </c>
      <c r="N23" s="338" t="s">
        <v>840</v>
      </c>
      <c r="O23" s="46" t="s">
        <v>202</v>
      </c>
      <c r="P23" s="392" t="s">
        <v>221</v>
      </c>
      <c r="Q23" s="389">
        <v>3.08</v>
      </c>
      <c r="R23" s="46" t="str">
        <f t="shared" si="1"/>
        <v>kilogram</v>
      </c>
      <c r="S23" s="46">
        <f>Q23</f>
        <v>3.08</v>
      </c>
      <c r="T23" s="46" t="s">
        <v>841</v>
      </c>
      <c r="U23" s="46"/>
    </row>
    <row r="24" spans="1:21">
      <c r="A24" s="15" t="s">
        <v>842</v>
      </c>
      <c r="B24" s="46">
        <v>6.79E-3</v>
      </c>
      <c r="C24" s="46" t="s">
        <v>37</v>
      </c>
      <c r="D24" s="46" t="s">
        <v>40</v>
      </c>
      <c r="E24" s="46" t="s">
        <v>29</v>
      </c>
      <c r="F24" s="32" t="s">
        <v>128</v>
      </c>
      <c r="G24" s="46" t="s">
        <v>33</v>
      </c>
      <c r="H24" s="46">
        <v>1</v>
      </c>
      <c r="I24" s="46">
        <f t="shared" si="0"/>
        <v>6.79E-3</v>
      </c>
      <c r="J24" s="46" t="s">
        <v>31</v>
      </c>
      <c r="K24" s="46" t="s">
        <v>31</v>
      </c>
      <c r="L24" s="46" t="s">
        <v>31</v>
      </c>
      <c r="M24" s="46" t="s">
        <v>31</v>
      </c>
      <c r="N24" s="338" t="s">
        <v>843</v>
      </c>
      <c r="O24" s="46" t="s">
        <v>202</v>
      </c>
      <c r="P24" s="393" t="s">
        <v>575</v>
      </c>
      <c r="Q24" s="394">
        <v>7</v>
      </c>
      <c r="R24" s="46" t="str">
        <f t="shared" si="1"/>
        <v>kilogram</v>
      </c>
      <c r="S24" s="46">
        <f t="shared" ref="S24:S26" si="3">0.001*Q24</f>
        <v>7.0000000000000001E-3</v>
      </c>
      <c r="T24" s="46"/>
      <c r="U24" s="46"/>
    </row>
    <row r="25" spans="1:21">
      <c r="A25" s="15" t="s">
        <v>844</v>
      </c>
      <c r="B25" s="46">
        <v>1.4550000000000001E-3</v>
      </c>
      <c r="C25" s="46" t="s">
        <v>37</v>
      </c>
      <c r="D25" s="46" t="s">
        <v>40</v>
      </c>
      <c r="E25" s="46" t="s">
        <v>29</v>
      </c>
      <c r="F25" s="32" t="s">
        <v>58</v>
      </c>
      <c r="G25" s="46" t="s">
        <v>33</v>
      </c>
      <c r="H25" s="46">
        <v>1</v>
      </c>
      <c r="I25" s="46">
        <f t="shared" si="0"/>
        <v>1.4550000000000001E-3</v>
      </c>
      <c r="J25" s="46" t="s">
        <v>31</v>
      </c>
      <c r="K25" s="46" t="s">
        <v>31</v>
      </c>
      <c r="L25" s="46" t="s">
        <v>31</v>
      </c>
      <c r="M25" s="46" t="s">
        <v>31</v>
      </c>
      <c r="N25" s="46" t="s">
        <v>845</v>
      </c>
      <c r="O25" s="46" t="s">
        <v>202</v>
      </c>
      <c r="P25" s="393" t="s">
        <v>575</v>
      </c>
      <c r="Q25" s="394">
        <v>1</v>
      </c>
      <c r="R25" s="46" t="str">
        <f t="shared" si="1"/>
        <v>kilogram</v>
      </c>
      <c r="S25" s="46">
        <f t="shared" si="3"/>
        <v>1E-3</v>
      </c>
      <c r="T25" s="46"/>
      <c r="U25" s="46"/>
    </row>
    <row r="26" spans="1:21">
      <c r="A26" s="15" t="s">
        <v>601</v>
      </c>
      <c r="B26" s="46">
        <v>1.4550000000000001E-3</v>
      </c>
      <c r="C26" s="46" t="s">
        <v>37</v>
      </c>
      <c r="D26" s="46" t="s">
        <v>40</v>
      </c>
      <c r="E26" s="46" t="s">
        <v>29</v>
      </c>
      <c r="F26" s="32" t="s">
        <v>35</v>
      </c>
      <c r="G26" s="46" t="s">
        <v>33</v>
      </c>
      <c r="H26" s="46">
        <v>1</v>
      </c>
      <c r="I26" s="46">
        <f t="shared" si="0"/>
        <v>1.4550000000000001E-3</v>
      </c>
      <c r="J26" s="46" t="s">
        <v>31</v>
      </c>
      <c r="K26" s="46" t="s">
        <v>31</v>
      </c>
      <c r="L26" s="46" t="s">
        <v>31</v>
      </c>
      <c r="M26" s="46" t="s">
        <v>31</v>
      </c>
      <c r="N26" s="46" t="s">
        <v>846</v>
      </c>
      <c r="O26" s="46" t="s">
        <v>202</v>
      </c>
      <c r="P26" s="393" t="s">
        <v>575</v>
      </c>
      <c r="Q26" s="394">
        <v>1</v>
      </c>
      <c r="R26" s="46" t="str">
        <f t="shared" si="1"/>
        <v>kilogram</v>
      </c>
      <c r="S26" s="46">
        <f t="shared" si="3"/>
        <v>1E-3</v>
      </c>
      <c r="T26" s="46"/>
      <c r="U26" s="46"/>
    </row>
    <row r="27" spans="1:21">
      <c r="A27" s="395" t="s">
        <v>75</v>
      </c>
      <c r="B27" s="46">
        <f>0.4+0.6</f>
        <v>1</v>
      </c>
      <c r="C27" s="46" t="s">
        <v>39</v>
      </c>
      <c r="D27" s="46" t="s">
        <v>40</v>
      </c>
      <c r="E27" s="46" t="s">
        <v>29</v>
      </c>
      <c r="F27" s="46" t="s">
        <v>14</v>
      </c>
      <c r="G27" s="46" t="s">
        <v>33</v>
      </c>
      <c r="H27" s="46">
        <v>1</v>
      </c>
      <c r="I27" s="46">
        <f t="shared" si="0"/>
        <v>1</v>
      </c>
      <c r="J27" s="46" t="s">
        <v>31</v>
      </c>
      <c r="K27" s="46" t="s">
        <v>31</v>
      </c>
      <c r="L27" s="46" t="s">
        <v>31</v>
      </c>
      <c r="M27" s="46" t="s">
        <v>31</v>
      </c>
      <c r="N27" s="46" t="s">
        <v>847</v>
      </c>
      <c r="O27" s="46" t="s">
        <v>202</v>
      </c>
      <c r="P27" s="392"/>
      <c r="Q27" s="389"/>
      <c r="R27" s="46" t="str">
        <f t="shared" si="1"/>
        <v>kilowatt hour</v>
      </c>
      <c r="S27" s="46"/>
      <c r="T27" s="46"/>
      <c r="U27" s="46"/>
    </row>
    <row r="28" spans="1:21">
      <c r="A28" s="395" t="s">
        <v>75</v>
      </c>
      <c r="B28" s="46">
        <v>1.4</v>
      </c>
      <c r="C28" s="46" t="s">
        <v>39</v>
      </c>
      <c r="D28" s="46" t="s">
        <v>40</v>
      </c>
      <c r="E28" s="46" t="s">
        <v>29</v>
      </c>
      <c r="F28" s="46" t="s">
        <v>14</v>
      </c>
      <c r="G28" s="46" t="s">
        <v>33</v>
      </c>
      <c r="H28" s="46">
        <v>1</v>
      </c>
      <c r="I28" s="46">
        <f t="shared" si="0"/>
        <v>1.4</v>
      </c>
      <c r="J28" s="46" t="s">
        <v>31</v>
      </c>
      <c r="K28" s="46" t="s">
        <v>31</v>
      </c>
      <c r="L28" s="46" t="s">
        <v>31</v>
      </c>
      <c r="M28" s="46" t="s">
        <v>31</v>
      </c>
      <c r="N28" s="46" t="s">
        <v>848</v>
      </c>
      <c r="O28" s="46" t="s">
        <v>202</v>
      </c>
      <c r="P28" s="46"/>
      <c r="Q28" s="46"/>
      <c r="R28" s="46"/>
      <c r="S28" s="46"/>
      <c r="T28" s="46"/>
      <c r="U28" s="46"/>
    </row>
    <row r="29" spans="1:21">
      <c r="A29" s="395" t="s">
        <v>75</v>
      </c>
      <c r="B29" s="46">
        <v>1.5</v>
      </c>
      <c r="C29" s="46" t="s">
        <v>39</v>
      </c>
      <c r="D29" s="46" t="s">
        <v>40</v>
      </c>
      <c r="E29" s="46" t="s">
        <v>29</v>
      </c>
      <c r="F29" s="46" t="s">
        <v>14</v>
      </c>
      <c r="G29" s="46" t="s">
        <v>33</v>
      </c>
      <c r="H29" s="46">
        <v>1</v>
      </c>
      <c r="I29" s="46">
        <f t="shared" si="0"/>
        <v>1.5</v>
      </c>
      <c r="J29" s="46" t="s">
        <v>31</v>
      </c>
      <c r="K29" s="46" t="s">
        <v>31</v>
      </c>
      <c r="L29" s="46" t="s">
        <v>31</v>
      </c>
      <c r="M29" s="46" t="s">
        <v>31</v>
      </c>
      <c r="N29" s="46" t="s">
        <v>849</v>
      </c>
      <c r="O29" s="46" t="s">
        <v>202</v>
      </c>
      <c r="P29" s="46"/>
      <c r="Q29" s="46"/>
      <c r="R29" s="46"/>
      <c r="S29" s="46"/>
      <c r="T29" s="46"/>
      <c r="U29" s="46"/>
    </row>
    <row r="30" spans="1:21" ht="15.75">
      <c r="A30" s="99"/>
      <c r="B30" s="100"/>
      <c r="C30" s="39"/>
      <c r="D30" s="41"/>
      <c r="E30" s="41"/>
      <c r="F30" s="41"/>
      <c r="G30" s="41"/>
      <c r="H30" s="41"/>
      <c r="I30" s="41"/>
      <c r="J30" s="41"/>
      <c r="K30" s="41"/>
      <c r="L30" s="41"/>
      <c r="M30" s="41"/>
      <c r="N30" s="46" t="s">
        <v>850</v>
      </c>
    </row>
    <row r="31" spans="1:21">
      <c r="A31" s="101"/>
      <c r="C31" s="102"/>
      <c r="N31" s="46" t="s">
        <v>851</v>
      </c>
      <c r="O31" s="169">
        <f>SUM(B13:B26)-B17+0.245</f>
        <v>4.6122173170719076</v>
      </c>
    </row>
    <row r="32" spans="1:21">
      <c r="A32" s="101"/>
      <c r="C32" s="102"/>
    </row>
    <row r="33" spans="1:14">
      <c r="A33" s="101"/>
      <c r="B33" s="103"/>
    </row>
    <row r="35" spans="1:14">
      <c r="A35" s="101"/>
    </row>
    <row r="37" spans="1:14" ht="15.75">
      <c r="A37" s="42"/>
      <c r="B37" s="157"/>
      <c r="D37" s="17"/>
      <c r="F37" s="104"/>
    </row>
    <row r="38" spans="1:14" ht="15.75">
      <c r="A38" s="105"/>
    </row>
    <row r="39" spans="1:14" ht="15.75">
      <c r="A39" s="105"/>
      <c r="B39" s="16"/>
      <c r="C39" s="16"/>
      <c r="D39" s="16"/>
      <c r="E39" s="16"/>
      <c r="F39" s="16"/>
      <c r="G39" s="16"/>
      <c r="H39" s="16"/>
      <c r="I39" s="16"/>
      <c r="J39" s="16"/>
      <c r="K39" s="16"/>
      <c r="L39" s="16"/>
      <c r="M39" s="16"/>
      <c r="N39" s="16"/>
    </row>
    <row r="40" spans="1:14" ht="15.75">
      <c r="A40" s="106"/>
      <c r="D40" s="17"/>
      <c r="F40" s="104"/>
    </row>
    <row r="41" spans="1:14" ht="15.75">
      <c r="A41" s="106"/>
      <c r="D41" s="17"/>
      <c r="F41" s="104"/>
    </row>
    <row r="42" spans="1:14" ht="15.75">
      <c r="A42" s="106"/>
      <c r="D42" s="17"/>
      <c r="F42" s="104"/>
    </row>
    <row r="43" spans="1:14" ht="15.75">
      <c r="A43" s="106"/>
      <c r="D43" s="17"/>
      <c r="F43" s="104"/>
    </row>
    <row r="44" spans="1:14" ht="15.75">
      <c r="A44" s="106"/>
      <c r="D44" s="17"/>
      <c r="F44" s="104"/>
    </row>
    <row r="45" spans="1:14" ht="15.75">
      <c r="A45" s="106"/>
      <c r="D45" s="17"/>
      <c r="F45" s="104"/>
    </row>
    <row r="46" spans="1:14" ht="15.75">
      <c r="A46" s="106"/>
      <c r="D46" s="17"/>
      <c r="F46" s="104"/>
    </row>
    <row r="47" spans="1:14" ht="15.75">
      <c r="A47" s="106"/>
      <c r="D47" s="17"/>
      <c r="F47" s="104"/>
    </row>
    <row r="48" spans="1:14" ht="15.75">
      <c r="A48" s="106"/>
      <c r="D48" s="17"/>
      <c r="F48" s="104"/>
    </row>
    <row r="49" spans="1:6" ht="15.75">
      <c r="A49" s="106"/>
      <c r="D49" s="17"/>
      <c r="F49" s="104"/>
    </row>
    <row r="50" spans="1:6" ht="15.75">
      <c r="A50" s="106"/>
      <c r="D50" s="17"/>
      <c r="F50" s="104"/>
    </row>
    <row r="51" spans="1:6" ht="15.75">
      <c r="A51" s="106"/>
      <c r="D51" s="17"/>
      <c r="F51" s="104"/>
    </row>
    <row r="52" spans="1:6" ht="15.75">
      <c r="A52" s="106"/>
      <c r="D52" s="17"/>
      <c r="F52" s="104"/>
    </row>
    <row r="53" spans="1:6" ht="15.75">
      <c r="A53" s="106"/>
      <c r="D53" s="17"/>
      <c r="F53" s="104"/>
    </row>
    <row r="54" spans="1:6" ht="15.75">
      <c r="A54" s="17"/>
      <c r="D54" s="17"/>
      <c r="F54" s="104"/>
    </row>
    <row r="55" spans="1:6" ht="15.75">
      <c r="A55" s="17"/>
      <c r="D55" s="17"/>
    </row>
    <row r="56" spans="1:6" ht="15.75">
      <c r="A56" s="106"/>
      <c r="D56" s="17"/>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A2" sqref="A2:XFD3"/>
    </sheetView>
  </sheetViews>
  <sheetFormatPr defaultRowHeight="15"/>
  <cols>
    <col min="1" max="1" width="41.42578125" bestFit="1" customWidth="1"/>
    <col min="2" max="2" width="40.7109375" bestFit="1" customWidth="1"/>
    <col min="3" max="3" width="5" bestFit="1" customWidth="1"/>
    <col min="4" max="4" width="26.285156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5</v>
      </c>
      <c r="B2" s="2" t="s">
        <v>32</v>
      </c>
      <c r="C2" s="3"/>
      <c r="D2" s="11"/>
      <c r="E2" s="11"/>
      <c r="F2" s="11"/>
      <c r="G2" s="11"/>
      <c r="H2" s="11"/>
      <c r="I2" s="11"/>
      <c r="J2" s="11"/>
      <c r="K2" s="11"/>
      <c r="L2" s="11"/>
      <c r="M2" s="11"/>
    </row>
    <row r="3" spans="1:13">
      <c r="A3" s="12" t="s">
        <v>7</v>
      </c>
      <c r="B3" s="13" t="s">
        <v>49</v>
      </c>
      <c r="C3" s="4"/>
      <c r="D3" s="13"/>
      <c r="E3" s="13"/>
      <c r="F3" s="13"/>
      <c r="G3" s="13"/>
      <c r="H3" s="13"/>
      <c r="I3" s="13"/>
      <c r="J3" s="13"/>
      <c r="K3" s="13"/>
      <c r="L3" s="13"/>
      <c r="M3" s="13"/>
    </row>
    <row r="4" spans="1:13">
      <c r="A4" s="12" t="s">
        <v>9</v>
      </c>
      <c r="B4" s="13" t="s">
        <v>50</v>
      </c>
      <c r="C4" s="4"/>
      <c r="D4" s="13"/>
      <c r="E4" s="13"/>
      <c r="F4" s="13"/>
      <c r="G4" s="13"/>
      <c r="H4" s="13"/>
      <c r="I4" s="13"/>
      <c r="J4" s="13"/>
      <c r="K4" s="13"/>
      <c r="L4" s="13"/>
      <c r="M4" s="13"/>
    </row>
    <row r="5" spans="1:13" ht="60">
      <c r="A5" s="12" t="s">
        <v>11</v>
      </c>
      <c r="B5" s="14" t="s">
        <v>51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75">
      <c r="A13" s="7" t="s">
        <v>52</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75">
      <c r="A14" s="7" t="s">
        <v>53</v>
      </c>
      <c r="B14" s="13">
        <v>1</v>
      </c>
      <c r="C14" s="13" t="s">
        <v>18</v>
      </c>
      <c r="D14" s="8" t="s">
        <v>2</v>
      </c>
      <c r="E14" s="13" t="s">
        <v>29</v>
      </c>
      <c r="F14" s="13" t="s">
        <v>14</v>
      </c>
      <c r="G14" s="13" t="s">
        <v>33</v>
      </c>
      <c r="H14" s="13">
        <v>2</v>
      </c>
      <c r="I14" s="13">
        <f t="shared" ref="I14:I17" si="0">LN(B14)</f>
        <v>0</v>
      </c>
      <c r="J14" s="13">
        <v>0.4147288270665544</v>
      </c>
      <c r="K14" s="13" t="s">
        <v>31</v>
      </c>
      <c r="L14" s="13" t="s">
        <v>31</v>
      </c>
      <c r="M14" s="13" t="s">
        <v>31</v>
      </c>
    </row>
    <row r="15" spans="1:13" ht="15.75">
      <c r="A15" s="7" t="s">
        <v>54</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75">
      <c r="A16" s="7" t="s">
        <v>55</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75">
      <c r="A17" s="7" t="s">
        <v>56</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75">
      <c r="A18" s="7" t="s">
        <v>57</v>
      </c>
      <c r="B18" s="13">
        <v>1</v>
      </c>
      <c r="C18" s="13" t="s">
        <v>18</v>
      </c>
      <c r="D18" s="8" t="s">
        <v>2</v>
      </c>
      <c r="E18" s="13" t="s">
        <v>29</v>
      </c>
      <c r="F18" s="13" t="s">
        <v>58</v>
      </c>
      <c r="G18" s="13" t="s">
        <v>33</v>
      </c>
      <c r="H18" s="13">
        <v>2</v>
      </c>
      <c r="I18" s="13">
        <f t="shared" ref="I18" si="1">LN(B18)</f>
        <v>0</v>
      </c>
      <c r="J18" s="13">
        <v>0.4147288270665544</v>
      </c>
      <c r="K18" s="13" t="s">
        <v>31</v>
      </c>
      <c r="L18" s="13" t="s">
        <v>31</v>
      </c>
      <c r="M18" s="13" t="s">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42AE6-54F9-4793-9E9B-68181E21ABCE}">
  <sheetPr>
    <tabColor theme="9"/>
  </sheetPr>
  <dimension ref="A1:T104"/>
  <sheetViews>
    <sheetView topLeftCell="A17" workbookViewId="0">
      <selection activeCell="A36" sqref="A36"/>
    </sheetView>
  </sheetViews>
  <sheetFormatPr defaultRowHeight="15"/>
  <cols>
    <col min="1" max="1" width="52.42578125" style="22" customWidth="1"/>
    <col min="2" max="2" width="17.5703125" customWidth="1"/>
    <col min="3" max="3" width="13.7109375" customWidth="1"/>
    <col min="4" max="4" width="39.85546875" customWidth="1"/>
    <col min="7" max="7" width="14.85546875" customWidth="1"/>
  </cols>
  <sheetData>
    <row r="1" spans="1:20">
      <c r="A1" s="46" t="s">
        <v>0</v>
      </c>
      <c r="B1" s="46">
        <v>13</v>
      </c>
      <c r="C1" s="46"/>
      <c r="D1" s="46"/>
      <c r="E1" s="46"/>
      <c r="F1" s="46"/>
      <c r="G1" s="46"/>
      <c r="H1" s="46"/>
      <c r="I1" s="46"/>
      <c r="J1" s="46"/>
      <c r="K1" s="46"/>
      <c r="L1" s="46"/>
      <c r="M1" s="46"/>
      <c r="N1" s="46"/>
      <c r="O1" s="46"/>
      <c r="P1" s="46"/>
      <c r="Q1" s="46"/>
      <c r="R1" s="46"/>
      <c r="S1" s="46"/>
      <c r="T1" s="46"/>
    </row>
    <row r="2" spans="1:20">
      <c r="A2" s="396" t="s">
        <v>5</v>
      </c>
      <c r="B2" s="397" t="s">
        <v>831</v>
      </c>
      <c r="C2" s="364"/>
      <c r="D2" s="345"/>
      <c r="E2" s="345"/>
      <c r="F2" s="345"/>
      <c r="G2" s="345"/>
      <c r="H2" s="345"/>
      <c r="I2" s="345"/>
      <c r="J2" s="345"/>
      <c r="K2" s="345"/>
      <c r="L2" s="345"/>
      <c r="M2" s="345"/>
      <c r="N2" s="345"/>
      <c r="O2" s="345"/>
      <c r="P2" s="345"/>
      <c r="Q2" s="345"/>
      <c r="R2" s="345"/>
      <c r="S2" s="46"/>
      <c r="T2" s="46"/>
    </row>
    <row r="3" spans="1:20">
      <c r="A3" s="398" t="s">
        <v>7</v>
      </c>
      <c r="B3" s="46" t="s">
        <v>779</v>
      </c>
      <c r="C3" s="337"/>
      <c r="D3" s="46"/>
      <c r="E3" s="46"/>
      <c r="F3" s="46"/>
      <c r="G3" s="46"/>
      <c r="H3" s="46"/>
      <c r="I3" s="46"/>
      <c r="J3" s="46"/>
      <c r="K3" s="46"/>
      <c r="L3" s="46"/>
      <c r="M3" s="46"/>
      <c r="N3" s="46"/>
      <c r="O3" s="46"/>
      <c r="P3" s="46"/>
      <c r="Q3" s="46"/>
      <c r="R3" s="46"/>
      <c r="S3" s="46"/>
      <c r="T3" s="46"/>
    </row>
    <row r="4" spans="1:20">
      <c r="A4" s="398" t="s">
        <v>9</v>
      </c>
      <c r="B4" s="46" t="s">
        <v>852</v>
      </c>
      <c r="C4" s="337"/>
      <c r="D4" s="46"/>
      <c r="E4" s="46"/>
      <c r="F4" s="46"/>
      <c r="G4" s="46"/>
      <c r="H4" s="46"/>
      <c r="I4" s="46"/>
      <c r="J4" s="46"/>
      <c r="K4" s="46"/>
      <c r="L4" s="46"/>
      <c r="M4" s="46"/>
      <c r="N4" s="46"/>
      <c r="O4" s="46"/>
      <c r="P4" s="46"/>
      <c r="Q4" s="46"/>
      <c r="R4" s="46"/>
      <c r="S4" s="46"/>
      <c r="T4" s="46"/>
    </row>
    <row r="5" spans="1:20" ht="12.75" customHeight="1">
      <c r="A5" s="398" t="s">
        <v>11</v>
      </c>
      <c r="B5" s="339" t="s">
        <v>789</v>
      </c>
      <c r="C5" s="46"/>
      <c r="D5" s="46"/>
      <c r="E5" s="46"/>
      <c r="F5" s="46"/>
      <c r="G5" s="46"/>
      <c r="H5" s="46"/>
      <c r="I5" s="46"/>
      <c r="J5" s="46"/>
      <c r="K5" s="46"/>
      <c r="L5" s="46"/>
      <c r="M5" s="46"/>
      <c r="N5" s="46"/>
      <c r="O5" s="46"/>
      <c r="P5" s="46"/>
      <c r="Q5" s="46"/>
      <c r="R5" s="46"/>
      <c r="S5" s="46"/>
      <c r="T5" s="46"/>
    </row>
    <row r="6" spans="1:20">
      <c r="A6" s="398" t="s">
        <v>13</v>
      </c>
      <c r="B6" s="46" t="s">
        <v>14</v>
      </c>
      <c r="C6" s="46"/>
      <c r="D6" s="46"/>
      <c r="E6" s="46"/>
      <c r="F6" s="46"/>
      <c r="G6" s="46"/>
      <c r="H6" s="46"/>
      <c r="I6" s="46"/>
      <c r="J6" s="46"/>
      <c r="K6" s="46"/>
      <c r="L6" s="46"/>
      <c r="M6" s="46"/>
      <c r="N6" s="46"/>
      <c r="O6" s="46"/>
      <c r="P6" s="46"/>
      <c r="Q6" s="46"/>
      <c r="R6" s="46"/>
      <c r="S6" s="46"/>
      <c r="T6" s="46"/>
    </row>
    <row r="7" spans="1:20">
      <c r="A7" s="398" t="s">
        <v>15</v>
      </c>
      <c r="B7" s="46">
        <f>B12</f>
        <v>4.0000000000000001E-3</v>
      </c>
      <c r="C7" s="46"/>
      <c r="D7" s="46"/>
      <c r="E7" s="46"/>
      <c r="F7" s="46"/>
      <c r="G7" s="46"/>
      <c r="H7" s="46"/>
      <c r="I7" s="46"/>
      <c r="J7" s="46"/>
      <c r="K7" s="46"/>
      <c r="L7" s="46"/>
      <c r="M7" s="46"/>
      <c r="N7" s="46"/>
      <c r="O7" s="46"/>
      <c r="P7" s="46"/>
      <c r="Q7" s="46"/>
      <c r="R7" s="46"/>
      <c r="S7" s="46"/>
      <c r="T7" s="46"/>
    </row>
    <row r="8" spans="1:20">
      <c r="A8" s="398" t="s">
        <v>16</v>
      </c>
      <c r="B8" s="46" t="s">
        <v>17</v>
      </c>
      <c r="C8" s="46"/>
      <c r="D8" s="46"/>
      <c r="E8" s="46"/>
      <c r="F8" s="46"/>
      <c r="G8" s="46"/>
      <c r="H8" s="46"/>
      <c r="I8" s="46"/>
      <c r="J8" s="46"/>
      <c r="K8" s="46"/>
      <c r="L8" s="46"/>
      <c r="M8" s="46"/>
      <c r="N8" s="46"/>
      <c r="O8" s="46"/>
      <c r="P8" s="46"/>
      <c r="Q8" s="46"/>
      <c r="R8" s="46"/>
      <c r="S8" s="46"/>
      <c r="T8" s="46"/>
    </row>
    <row r="9" spans="1:20">
      <c r="A9" s="398" t="s">
        <v>18</v>
      </c>
      <c r="B9" s="46" t="s">
        <v>113</v>
      </c>
      <c r="C9" s="46"/>
      <c r="D9" s="46"/>
      <c r="E9" s="46"/>
      <c r="F9" s="46"/>
      <c r="G9" s="46"/>
      <c r="H9" s="46"/>
      <c r="I9" s="46"/>
      <c r="J9" s="46"/>
      <c r="K9" s="46"/>
      <c r="L9" s="46"/>
      <c r="M9" s="46"/>
      <c r="N9" s="46"/>
      <c r="O9" s="46"/>
      <c r="P9" s="46"/>
      <c r="Q9" s="46"/>
      <c r="R9" s="46"/>
      <c r="S9" s="46"/>
      <c r="T9" s="46"/>
    </row>
    <row r="10" spans="1:20">
      <c r="A10" s="399" t="s">
        <v>19</v>
      </c>
      <c r="B10" s="46"/>
      <c r="C10" s="46"/>
      <c r="D10" s="46"/>
      <c r="E10" s="46"/>
      <c r="F10" s="46"/>
      <c r="G10" s="46"/>
      <c r="H10" s="46"/>
      <c r="I10" s="46"/>
      <c r="J10" s="46"/>
      <c r="K10" s="46"/>
      <c r="L10" s="46"/>
      <c r="M10" s="46"/>
      <c r="N10" s="46"/>
      <c r="O10" s="46"/>
      <c r="P10" s="46"/>
      <c r="Q10" s="46"/>
      <c r="R10" s="46"/>
      <c r="S10" s="46"/>
      <c r="T10" s="46"/>
    </row>
    <row r="11" spans="1:20">
      <c r="A11" s="399"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c r="O11" s="46"/>
      <c r="P11" s="46"/>
      <c r="Q11" s="46"/>
      <c r="R11" s="46"/>
      <c r="S11" s="46"/>
      <c r="T11" s="46"/>
    </row>
    <row r="12" spans="1:20">
      <c r="A12" s="373" t="s">
        <v>831</v>
      </c>
      <c r="B12" s="46">
        <v>4.0000000000000001E-3</v>
      </c>
      <c r="C12" s="46" t="s">
        <v>113</v>
      </c>
      <c r="D12" s="400" t="s">
        <v>2</v>
      </c>
      <c r="E12" s="46" t="s">
        <v>29</v>
      </c>
      <c r="F12" s="32" t="s">
        <v>14</v>
      </c>
      <c r="G12" s="46" t="s">
        <v>30</v>
      </c>
      <c r="H12" s="46">
        <v>1</v>
      </c>
      <c r="I12" s="46">
        <f>B12</f>
        <v>4.0000000000000001E-3</v>
      </c>
      <c r="J12" s="46" t="s">
        <v>31</v>
      </c>
      <c r="K12" s="46" t="s">
        <v>31</v>
      </c>
      <c r="L12" s="46" t="s">
        <v>31</v>
      </c>
      <c r="M12" s="46" t="s">
        <v>31</v>
      </c>
      <c r="N12" s="46"/>
      <c r="O12" s="401"/>
      <c r="P12" s="402"/>
      <c r="Q12" s="46"/>
      <c r="R12" s="46"/>
      <c r="S12" s="46"/>
      <c r="T12" s="46"/>
    </row>
    <row r="13" spans="1:20">
      <c r="A13" s="373" t="s">
        <v>853</v>
      </c>
      <c r="B13" s="46">
        <v>4.0000000000000001E-3</v>
      </c>
      <c r="C13" s="46" t="s">
        <v>37</v>
      </c>
      <c r="D13" s="400" t="s">
        <v>2</v>
      </c>
      <c r="E13" s="46" t="s">
        <v>29</v>
      </c>
      <c r="F13" s="32" t="s">
        <v>14</v>
      </c>
      <c r="G13" s="46" t="s">
        <v>33</v>
      </c>
      <c r="H13" s="46">
        <v>1</v>
      </c>
      <c r="I13" s="46">
        <f t="shared" ref="I13:I14" si="0">B13</f>
        <v>4.0000000000000001E-3</v>
      </c>
      <c r="J13" s="46" t="s">
        <v>31</v>
      </c>
      <c r="K13" s="46" t="s">
        <v>31</v>
      </c>
      <c r="L13" s="46" t="s">
        <v>31</v>
      </c>
      <c r="M13" s="46" t="s">
        <v>31</v>
      </c>
      <c r="N13" s="46"/>
      <c r="O13" s="367" t="s">
        <v>605</v>
      </c>
      <c r="P13" s="46">
        <v>1E-3</v>
      </c>
      <c r="Q13" s="46">
        <f>O37</f>
        <v>0.2</v>
      </c>
      <c r="R13" s="46" t="s">
        <v>854</v>
      </c>
      <c r="S13" s="46">
        <f>P13/Q13</f>
        <v>5.0000000000000001E-3</v>
      </c>
      <c r="T13" s="46" t="s">
        <v>221</v>
      </c>
    </row>
    <row r="14" spans="1:20">
      <c r="A14" s="373" t="s">
        <v>855</v>
      </c>
      <c r="B14" s="46">
        <v>1E-3</v>
      </c>
      <c r="C14" s="46" t="s">
        <v>113</v>
      </c>
      <c r="D14" s="400" t="s">
        <v>2</v>
      </c>
      <c r="E14" s="46" t="s">
        <v>29</v>
      </c>
      <c r="F14" s="32" t="s">
        <v>14</v>
      </c>
      <c r="G14" s="46" t="s">
        <v>33</v>
      </c>
      <c r="H14" s="46">
        <v>1</v>
      </c>
      <c r="I14" s="46">
        <f t="shared" si="0"/>
        <v>1E-3</v>
      </c>
      <c r="J14" s="46" t="s">
        <v>31</v>
      </c>
      <c r="K14" s="46" t="s">
        <v>31</v>
      </c>
      <c r="L14" s="46" t="s">
        <v>31</v>
      </c>
      <c r="M14" s="46" t="s">
        <v>31</v>
      </c>
      <c r="N14" s="46"/>
      <c r="O14" s="46"/>
      <c r="P14" s="46"/>
      <c r="Q14" s="369"/>
      <c r="R14" s="403" t="s">
        <v>856</v>
      </c>
      <c r="S14" s="46"/>
      <c r="T14" s="46"/>
    </row>
    <row r="15" spans="1:20">
      <c r="A15" s="404" t="s">
        <v>792</v>
      </c>
      <c r="B15" s="46">
        <f>P15</f>
        <v>0.03</v>
      </c>
      <c r="C15" s="46" t="s">
        <v>37</v>
      </c>
      <c r="D15" s="46" t="s">
        <v>40</v>
      </c>
      <c r="E15" s="46" t="s">
        <v>29</v>
      </c>
      <c r="F15" s="32" t="s">
        <v>741</v>
      </c>
      <c r="G15" s="46" t="s">
        <v>33</v>
      </c>
      <c r="H15" s="46">
        <v>2</v>
      </c>
      <c r="I15" s="46">
        <f>LN(B15)</f>
        <v>-3.5065578973199818</v>
      </c>
      <c r="J15" s="405">
        <v>0.11236102527122109</v>
      </c>
      <c r="K15" s="46" t="s">
        <v>31</v>
      </c>
      <c r="L15" s="46" t="s">
        <v>31</v>
      </c>
      <c r="M15" s="46" t="s">
        <v>31</v>
      </c>
      <c r="N15" s="46"/>
      <c r="O15" s="393" t="s">
        <v>221</v>
      </c>
      <c r="P15" s="406">
        <v>0.03</v>
      </c>
      <c r="Q15" s="46"/>
      <c r="R15" s="46"/>
      <c r="S15" s="46"/>
      <c r="T15" s="46"/>
    </row>
    <row r="16" spans="1:20">
      <c r="A16" s="404" t="s">
        <v>857</v>
      </c>
      <c r="B16" s="407">
        <f>Q16</f>
        <v>1.6999999999999999E-9</v>
      </c>
      <c r="C16" s="46" t="s">
        <v>37</v>
      </c>
      <c r="D16" s="46" t="s">
        <v>40</v>
      </c>
      <c r="E16" s="46" t="s">
        <v>29</v>
      </c>
      <c r="F16" s="32" t="s">
        <v>58</v>
      </c>
      <c r="G16" s="46" t="s">
        <v>33</v>
      </c>
      <c r="H16" s="46">
        <v>2</v>
      </c>
      <c r="I16" s="46">
        <f t="shared" ref="I16:I17" si="1">LN(B16)</f>
        <v>-20.192637585884242</v>
      </c>
      <c r="J16" s="405">
        <v>0.11236102527122109</v>
      </c>
      <c r="K16" s="46" t="s">
        <v>31</v>
      </c>
      <c r="L16" s="46" t="s">
        <v>31</v>
      </c>
      <c r="M16" s="46" t="s">
        <v>31</v>
      </c>
      <c r="N16" s="46"/>
      <c r="O16" s="408" t="s">
        <v>523</v>
      </c>
      <c r="P16" s="409">
        <v>1.6999999999999999E-3</v>
      </c>
      <c r="Q16" s="407">
        <f>P16*10^(-6)</f>
        <v>1.6999999999999999E-9</v>
      </c>
      <c r="R16" s="46" t="s">
        <v>37</v>
      </c>
      <c r="S16" s="46"/>
      <c r="T16" s="46"/>
    </row>
    <row r="17" spans="1:20">
      <c r="A17" s="404" t="s">
        <v>226</v>
      </c>
      <c r="B17" s="46">
        <f>Q17</f>
        <v>2.9999999999999997E-5</v>
      </c>
      <c r="C17" s="46" t="s">
        <v>42</v>
      </c>
      <c r="D17" s="46" t="s">
        <v>40</v>
      </c>
      <c r="E17" s="46" t="s">
        <v>29</v>
      </c>
      <c r="F17" s="32" t="s">
        <v>741</v>
      </c>
      <c r="G17" s="46" t="s">
        <v>33</v>
      </c>
      <c r="H17" s="46">
        <v>2</v>
      </c>
      <c r="I17" s="46">
        <f t="shared" si="1"/>
        <v>-10.41431317630212</v>
      </c>
      <c r="J17" s="405">
        <v>0.11236102527122109</v>
      </c>
      <c r="K17" s="46" t="s">
        <v>31</v>
      </c>
      <c r="L17" s="46" t="s">
        <v>31</v>
      </c>
      <c r="M17" s="46" t="s">
        <v>31</v>
      </c>
      <c r="N17" s="46"/>
      <c r="O17" s="410" t="s">
        <v>858</v>
      </c>
      <c r="P17" s="411">
        <v>0.03</v>
      </c>
      <c r="Q17" s="46">
        <f>P17/1000</f>
        <v>2.9999999999999997E-5</v>
      </c>
      <c r="R17" s="46" t="s">
        <v>859</v>
      </c>
      <c r="S17" s="46"/>
      <c r="T17" s="46"/>
    </row>
    <row r="18" spans="1:20">
      <c r="A18" s="396" t="s">
        <v>5</v>
      </c>
      <c r="B18" s="397" t="s">
        <v>853</v>
      </c>
      <c r="C18" s="364"/>
      <c r="D18" s="345"/>
      <c r="E18" s="345"/>
      <c r="F18" s="345"/>
      <c r="G18" s="345"/>
      <c r="H18" s="345"/>
      <c r="I18" s="345"/>
      <c r="J18" s="345"/>
      <c r="K18" s="345"/>
      <c r="L18" s="345"/>
      <c r="M18" s="345"/>
      <c r="N18" s="345"/>
      <c r="O18" s="345"/>
      <c r="P18" s="345"/>
      <c r="Q18" s="345"/>
      <c r="R18" s="345"/>
      <c r="S18" s="46"/>
      <c r="T18" s="46"/>
    </row>
    <row r="19" spans="1:20">
      <c r="A19" s="398" t="s">
        <v>7</v>
      </c>
      <c r="B19" s="46" t="s">
        <v>779</v>
      </c>
      <c r="C19" s="337"/>
      <c r="D19" s="46"/>
      <c r="E19" s="46"/>
      <c r="F19" s="46"/>
      <c r="G19" s="46"/>
      <c r="H19" s="46"/>
      <c r="I19" s="46"/>
      <c r="J19" s="46"/>
      <c r="K19" s="46"/>
      <c r="L19" s="46"/>
      <c r="M19" s="46"/>
      <c r="N19" s="46"/>
      <c r="O19" s="46"/>
      <c r="P19" s="46"/>
      <c r="Q19" s="46"/>
      <c r="R19" s="46"/>
      <c r="S19" s="46"/>
      <c r="T19" s="46"/>
    </row>
    <row r="20" spans="1:20">
      <c r="A20" s="398" t="s">
        <v>9</v>
      </c>
      <c r="B20" s="46" t="s">
        <v>860</v>
      </c>
      <c r="C20" s="337"/>
      <c r="D20" s="46"/>
      <c r="E20" s="46"/>
      <c r="F20" s="46"/>
      <c r="G20" s="46"/>
      <c r="H20" s="46"/>
      <c r="I20" s="46"/>
      <c r="J20" s="46"/>
      <c r="K20" s="46"/>
      <c r="L20" s="46"/>
      <c r="M20" s="46"/>
      <c r="N20" s="46"/>
      <c r="O20" s="46"/>
      <c r="P20" s="46"/>
      <c r="Q20" s="46"/>
      <c r="R20" s="46"/>
      <c r="S20" s="46"/>
      <c r="T20" s="46"/>
    </row>
    <row r="21" spans="1:20" ht="10.5" customHeight="1">
      <c r="A21" s="398" t="s">
        <v>11</v>
      </c>
      <c r="B21" s="339" t="s">
        <v>789</v>
      </c>
      <c r="C21" s="46"/>
      <c r="D21" s="46"/>
      <c r="E21" s="46"/>
      <c r="F21" s="46"/>
      <c r="G21" s="46"/>
      <c r="H21" s="46"/>
      <c r="I21" s="46"/>
      <c r="J21" s="46"/>
      <c r="K21" s="46"/>
      <c r="L21" s="46"/>
      <c r="M21" s="46"/>
      <c r="N21" s="46"/>
      <c r="O21" s="46"/>
      <c r="P21" s="46"/>
      <c r="Q21" s="46"/>
      <c r="R21" s="46"/>
      <c r="S21" s="46"/>
      <c r="T21" s="46"/>
    </row>
    <row r="22" spans="1:20">
      <c r="A22" s="398" t="s">
        <v>13</v>
      </c>
      <c r="B22" s="46" t="s">
        <v>14</v>
      </c>
      <c r="C22" s="46"/>
      <c r="D22" s="46"/>
      <c r="E22" s="46"/>
      <c r="F22" s="46"/>
      <c r="G22" s="46"/>
      <c r="H22" s="46"/>
      <c r="I22" s="46"/>
      <c r="J22" s="46"/>
      <c r="K22" s="46"/>
      <c r="L22" s="46"/>
      <c r="M22" s="46"/>
      <c r="N22" s="46"/>
      <c r="O22" s="46"/>
      <c r="P22" s="46"/>
      <c r="Q22" s="46"/>
      <c r="R22" s="46"/>
      <c r="S22" s="46"/>
      <c r="T22" s="46"/>
    </row>
    <row r="23" spans="1:20">
      <c r="A23" s="398" t="s">
        <v>15</v>
      </c>
      <c r="B23" s="46">
        <f>B28</f>
        <v>5.0000000000000001E-3</v>
      </c>
      <c r="C23" s="46"/>
      <c r="D23" s="46"/>
      <c r="E23" s="46"/>
      <c r="F23" s="46"/>
      <c r="G23" s="46"/>
      <c r="H23" s="46"/>
      <c r="I23" s="46"/>
      <c r="J23" s="46"/>
      <c r="K23" s="46"/>
      <c r="L23" s="46"/>
      <c r="M23" s="46"/>
      <c r="N23" s="46"/>
      <c r="O23" s="46"/>
      <c r="P23" s="46"/>
      <c r="Q23" s="46"/>
      <c r="R23" s="46"/>
      <c r="S23" s="46"/>
      <c r="T23" s="46"/>
    </row>
    <row r="24" spans="1:20">
      <c r="A24" s="398" t="s">
        <v>16</v>
      </c>
      <c r="B24" s="46" t="s">
        <v>17</v>
      </c>
      <c r="C24" s="46"/>
      <c r="D24" s="46"/>
      <c r="E24" s="46"/>
      <c r="F24" s="46"/>
      <c r="G24" s="46"/>
      <c r="H24" s="46"/>
      <c r="I24" s="46"/>
      <c r="J24" s="46"/>
      <c r="K24" s="46"/>
      <c r="L24" s="46"/>
      <c r="M24" s="46"/>
      <c r="N24" s="46"/>
      <c r="O24" s="46"/>
      <c r="P24" s="46"/>
      <c r="Q24" s="46"/>
      <c r="R24" s="46"/>
      <c r="S24" s="46"/>
      <c r="T24" s="46"/>
    </row>
    <row r="25" spans="1:20">
      <c r="A25" s="398" t="s">
        <v>18</v>
      </c>
      <c r="B25" s="46" t="s">
        <v>37</v>
      </c>
      <c r="C25" s="46"/>
      <c r="D25" s="46"/>
      <c r="E25" s="46"/>
      <c r="F25" s="46"/>
      <c r="G25" s="46"/>
      <c r="H25" s="46"/>
      <c r="I25" s="46"/>
      <c r="J25" s="46"/>
      <c r="K25" s="46"/>
      <c r="L25" s="46"/>
      <c r="M25" s="46"/>
      <c r="N25" s="46"/>
      <c r="O25" s="46"/>
      <c r="P25" s="46"/>
      <c r="Q25" s="46"/>
      <c r="R25" s="46"/>
      <c r="S25" s="46"/>
      <c r="T25" s="46"/>
    </row>
    <row r="26" spans="1:20">
      <c r="A26" s="399" t="s">
        <v>19</v>
      </c>
      <c r="B26" s="46"/>
      <c r="C26" s="46"/>
      <c r="D26" s="46"/>
      <c r="E26" s="46"/>
      <c r="F26" s="46"/>
      <c r="G26" s="46"/>
      <c r="H26" s="46"/>
      <c r="I26" s="46"/>
      <c r="J26" s="46"/>
      <c r="K26" s="46"/>
      <c r="L26" s="46"/>
      <c r="M26" s="46"/>
      <c r="N26" s="46"/>
      <c r="O26" s="46"/>
      <c r="P26" s="46"/>
      <c r="Q26" s="46"/>
      <c r="R26" s="46"/>
      <c r="S26" s="46"/>
      <c r="T26" s="46"/>
    </row>
    <row r="27" spans="1:20">
      <c r="A27" s="399" t="s">
        <v>20</v>
      </c>
      <c r="B27" s="336" t="s">
        <v>21</v>
      </c>
      <c r="C27" s="336" t="s">
        <v>18</v>
      </c>
      <c r="D27" s="336" t="s">
        <v>22</v>
      </c>
      <c r="E27" s="336" t="s">
        <v>7</v>
      </c>
      <c r="F27" s="336" t="s">
        <v>13</v>
      </c>
      <c r="G27" s="336" t="s">
        <v>16</v>
      </c>
      <c r="H27" s="336" t="s">
        <v>23</v>
      </c>
      <c r="I27" s="336" t="s">
        <v>24</v>
      </c>
      <c r="J27" s="336" t="s">
        <v>25</v>
      </c>
      <c r="K27" s="336" t="s">
        <v>26</v>
      </c>
      <c r="L27" s="336" t="s">
        <v>27</v>
      </c>
      <c r="M27" s="336" t="s">
        <v>28</v>
      </c>
      <c r="N27" s="336" t="s">
        <v>11</v>
      </c>
      <c r="O27" s="46"/>
      <c r="P27" s="46"/>
      <c r="Q27" s="46"/>
      <c r="R27" s="46"/>
      <c r="S27" s="46"/>
      <c r="T27" s="46"/>
    </row>
    <row r="28" spans="1:20">
      <c r="A28" s="373" t="s">
        <v>853</v>
      </c>
      <c r="B28" s="46">
        <v>5.0000000000000001E-3</v>
      </c>
      <c r="C28" s="46" t="s">
        <v>37</v>
      </c>
      <c r="D28" s="400" t="s">
        <v>2</v>
      </c>
      <c r="E28" s="46" t="s">
        <v>29</v>
      </c>
      <c r="F28" s="32" t="s">
        <v>14</v>
      </c>
      <c r="G28" s="46" t="s">
        <v>30</v>
      </c>
      <c r="H28" s="46">
        <v>1</v>
      </c>
      <c r="I28" s="46">
        <f>B28</f>
        <v>5.0000000000000001E-3</v>
      </c>
      <c r="J28" s="46" t="s">
        <v>31</v>
      </c>
      <c r="K28" s="46" t="s">
        <v>31</v>
      </c>
      <c r="L28" s="46" t="s">
        <v>31</v>
      </c>
      <c r="M28" s="46" t="s">
        <v>31</v>
      </c>
      <c r="N28" s="46"/>
      <c r="O28" s="46"/>
      <c r="P28" s="46"/>
      <c r="Q28" s="46"/>
      <c r="R28" s="46"/>
      <c r="S28" s="46"/>
      <c r="T28" s="46"/>
    </row>
    <row r="29" spans="1:20">
      <c r="A29" s="404" t="s">
        <v>857</v>
      </c>
      <c r="B29" s="407">
        <f>R29</f>
        <v>5.7000000000000002E-3</v>
      </c>
      <c r="C29" s="46" t="s">
        <v>37</v>
      </c>
      <c r="D29" s="46" t="s">
        <v>40</v>
      </c>
      <c r="E29" s="46" t="s">
        <v>29</v>
      </c>
      <c r="F29" s="32" t="s">
        <v>58</v>
      </c>
      <c r="G29" s="46" t="s">
        <v>33</v>
      </c>
      <c r="H29" s="46">
        <v>2</v>
      </c>
      <c r="I29" s="46">
        <f t="shared" ref="I29:I31" si="2">LN(B29)</f>
        <v>-5.1672891041416324</v>
      </c>
      <c r="J29" s="405">
        <v>0.11236102527122109</v>
      </c>
      <c r="K29" s="46" t="s">
        <v>31</v>
      </c>
      <c r="L29" s="46" t="s">
        <v>31</v>
      </c>
      <c r="M29" s="46" t="s">
        <v>31</v>
      </c>
      <c r="N29" s="46"/>
      <c r="O29" s="393" t="s">
        <v>575</v>
      </c>
      <c r="P29" s="406">
        <v>5.7</v>
      </c>
      <c r="Q29" s="46" t="s">
        <v>221</v>
      </c>
      <c r="R29" s="46">
        <f>P29*0.001</f>
        <v>5.7000000000000002E-3</v>
      </c>
      <c r="S29" s="46"/>
      <c r="T29" s="46"/>
    </row>
    <row r="30" spans="1:20">
      <c r="A30" s="398" t="s">
        <v>75</v>
      </c>
      <c r="B30" s="342">
        <f>P30</f>
        <v>0.02</v>
      </c>
      <c r="C30" s="46" t="s">
        <v>39</v>
      </c>
      <c r="D30" s="46" t="s">
        <v>40</v>
      </c>
      <c r="E30" s="46" t="s">
        <v>29</v>
      </c>
      <c r="F30" s="32" t="s">
        <v>58</v>
      </c>
      <c r="G30" s="46" t="s">
        <v>33</v>
      </c>
      <c r="H30" s="46">
        <v>2</v>
      </c>
      <c r="I30" s="46">
        <f t="shared" si="2"/>
        <v>-3.912023005428146</v>
      </c>
      <c r="J30" s="405">
        <v>0.11236102527122109</v>
      </c>
      <c r="K30" s="46" t="s">
        <v>31</v>
      </c>
      <c r="L30" s="46" t="s">
        <v>31</v>
      </c>
      <c r="M30" s="46" t="s">
        <v>31</v>
      </c>
      <c r="N30" s="46"/>
      <c r="O30" s="393" t="s">
        <v>216</v>
      </c>
      <c r="P30" s="406">
        <v>0.02</v>
      </c>
      <c r="Q30" s="46"/>
      <c r="R30" s="46"/>
      <c r="S30" s="46"/>
      <c r="T30" s="46"/>
    </row>
    <row r="31" spans="1:20">
      <c r="A31" s="404" t="s">
        <v>861</v>
      </c>
      <c r="B31" s="46">
        <f>R31</f>
        <v>2.9999999999999997E-4</v>
      </c>
      <c r="C31" s="46" t="s">
        <v>37</v>
      </c>
      <c r="D31" s="46" t="s">
        <v>43</v>
      </c>
      <c r="E31" s="46" t="s">
        <v>862</v>
      </c>
      <c r="F31" s="32" t="s">
        <v>29</v>
      </c>
      <c r="G31" s="46" t="s">
        <v>45</v>
      </c>
      <c r="H31" s="46">
        <v>2</v>
      </c>
      <c r="I31" s="46">
        <f t="shared" si="2"/>
        <v>-8.1117280833080727</v>
      </c>
      <c r="J31" s="405">
        <v>0.11236102527122109</v>
      </c>
      <c r="K31" s="46" t="s">
        <v>31</v>
      </c>
      <c r="L31" s="46" t="s">
        <v>31</v>
      </c>
      <c r="M31" s="46" t="s">
        <v>31</v>
      </c>
      <c r="N31" s="46"/>
      <c r="O31" s="410" t="s">
        <v>575</v>
      </c>
      <c r="P31" s="411">
        <v>0.3</v>
      </c>
      <c r="Q31" s="46" t="s">
        <v>221</v>
      </c>
      <c r="R31" s="46">
        <f>P31*0.001</f>
        <v>2.9999999999999997E-4</v>
      </c>
      <c r="S31" s="46"/>
      <c r="T31" s="46"/>
    </row>
    <row r="32" spans="1:20">
      <c r="A32" s="396" t="s">
        <v>5</v>
      </c>
      <c r="B32" s="363" t="s">
        <v>855</v>
      </c>
      <c r="C32" s="364"/>
      <c r="D32" s="345"/>
      <c r="E32" s="345"/>
      <c r="F32" s="345"/>
      <c r="G32" s="345"/>
      <c r="H32" s="345"/>
      <c r="I32" s="345"/>
      <c r="J32" s="345"/>
      <c r="K32" s="345"/>
      <c r="L32" s="345"/>
      <c r="M32" s="345"/>
      <c r="N32" s="345"/>
      <c r="O32" s="345"/>
      <c r="P32" s="345"/>
      <c r="Q32" s="345"/>
      <c r="R32" s="345"/>
      <c r="S32" s="46"/>
      <c r="T32" s="46"/>
    </row>
    <row r="33" spans="1:20">
      <c r="A33" s="398" t="s">
        <v>7</v>
      </c>
      <c r="B33" s="46" t="s">
        <v>779</v>
      </c>
      <c r="C33" s="337"/>
      <c r="D33" s="46"/>
      <c r="E33" s="46"/>
      <c r="F33" s="46"/>
      <c r="G33" s="46"/>
      <c r="H33" s="46"/>
      <c r="I33" s="46"/>
      <c r="J33" s="46"/>
      <c r="K33" s="46"/>
      <c r="L33" s="46"/>
      <c r="M33" s="46"/>
      <c r="N33" s="46"/>
      <c r="O33" s="46"/>
      <c r="P33" s="46"/>
      <c r="Q33" s="46"/>
      <c r="R33" s="46"/>
      <c r="S33" s="46"/>
      <c r="T33" s="46"/>
    </row>
    <row r="34" spans="1:20">
      <c r="A34" s="398" t="s">
        <v>9</v>
      </c>
      <c r="B34" s="46" t="s">
        <v>863</v>
      </c>
      <c r="C34" s="337"/>
      <c r="D34" s="46"/>
      <c r="E34" s="46"/>
      <c r="F34" s="46"/>
      <c r="G34" s="46"/>
      <c r="H34" s="46"/>
      <c r="I34" s="46"/>
      <c r="J34" s="46"/>
      <c r="K34" s="46"/>
      <c r="L34" s="46"/>
      <c r="M34" s="46"/>
      <c r="N34" s="46"/>
      <c r="O34" s="46"/>
      <c r="P34" s="46"/>
      <c r="Q34" s="46"/>
      <c r="R34" s="46"/>
      <c r="S34" s="46"/>
      <c r="T34" s="46"/>
    </row>
    <row r="35" spans="1:20" ht="15.75" customHeight="1">
      <c r="A35" s="398" t="s">
        <v>11</v>
      </c>
      <c r="B35" s="339" t="s">
        <v>789</v>
      </c>
      <c r="C35" s="46"/>
      <c r="D35" s="46"/>
      <c r="E35" s="46"/>
      <c r="F35" s="46"/>
      <c r="G35" s="46"/>
      <c r="H35" s="46"/>
      <c r="I35" s="46"/>
      <c r="J35" s="46"/>
      <c r="K35" s="46"/>
      <c r="L35" s="46"/>
      <c r="M35" s="46"/>
      <c r="N35" s="46"/>
      <c r="O35" s="46"/>
      <c r="P35" s="46"/>
      <c r="Q35" s="46"/>
      <c r="R35" s="46"/>
      <c r="S35" s="46"/>
      <c r="T35" s="46"/>
    </row>
    <row r="36" spans="1:20">
      <c r="A36" s="398" t="s">
        <v>13</v>
      </c>
      <c r="B36" s="46" t="s">
        <v>14</v>
      </c>
      <c r="C36" s="46"/>
      <c r="D36" s="46"/>
      <c r="E36" s="46"/>
      <c r="F36" s="46"/>
      <c r="G36" s="46"/>
      <c r="H36" s="46"/>
      <c r="I36" s="46"/>
      <c r="J36" s="46"/>
      <c r="K36" s="46"/>
      <c r="L36" s="46"/>
      <c r="M36" s="46"/>
      <c r="N36" s="46"/>
      <c r="O36" s="381" t="s">
        <v>864</v>
      </c>
      <c r="P36" s="46"/>
      <c r="Q36" s="46"/>
      <c r="R36" s="46"/>
      <c r="S36" s="46"/>
      <c r="T36" s="46"/>
    </row>
    <row r="37" spans="1:20">
      <c r="A37" s="398" t="s">
        <v>15</v>
      </c>
      <c r="B37" s="46">
        <f>B42</f>
        <v>0.05</v>
      </c>
      <c r="C37" s="46"/>
      <c r="D37" s="46"/>
      <c r="E37" s="46"/>
      <c r="F37" s="46"/>
      <c r="G37" s="46"/>
      <c r="H37" s="46"/>
      <c r="I37" s="46"/>
      <c r="J37" s="46"/>
      <c r="K37" s="46"/>
      <c r="L37" s="46"/>
      <c r="M37" s="46"/>
      <c r="N37" s="46"/>
      <c r="O37" s="46">
        <f>0.05/0.25</f>
        <v>0.2</v>
      </c>
      <c r="P37" s="46" t="s">
        <v>832</v>
      </c>
      <c r="Q37" s="46"/>
      <c r="R37" s="46"/>
      <c r="S37" s="46"/>
      <c r="T37" s="46"/>
    </row>
    <row r="38" spans="1:20">
      <c r="A38" s="398" t="s">
        <v>16</v>
      </c>
      <c r="B38" s="46" t="s">
        <v>17</v>
      </c>
      <c r="C38" s="46"/>
      <c r="D38" s="46"/>
      <c r="E38" s="46"/>
      <c r="F38" s="46"/>
      <c r="G38" s="46"/>
      <c r="H38" s="46"/>
      <c r="I38" s="46"/>
      <c r="J38" s="46"/>
      <c r="K38" s="46"/>
      <c r="L38" s="46"/>
      <c r="M38" s="46"/>
      <c r="N38" s="46"/>
      <c r="O38" s="46"/>
      <c r="P38" s="46"/>
      <c r="Q38" s="46"/>
      <c r="R38" s="46"/>
      <c r="S38" s="46"/>
      <c r="T38" s="46"/>
    </row>
    <row r="39" spans="1:20">
      <c r="A39" s="398" t="s">
        <v>18</v>
      </c>
      <c r="B39" s="46" t="s">
        <v>113</v>
      </c>
      <c r="C39" s="46"/>
      <c r="D39" s="46"/>
      <c r="E39" s="46"/>
      <c r="F39" s="46"/>
      <c r="G39" s="46"/>
      <c r="H39" s="46"/>
      <c r="I39" s="46"/>
      <c r="J39" s="46"/>
      <c r="K39" s="46"/>
      <c r="L39" s="46"/>
      <c r="M39" s="46"/>
      <c r="N39" s="46"/>
      <c r="O39" s="46"/>
      <c r="P39" s="46"/>
      <c r="Q39" s="46"/>
      <c r="R39" s="46"/>
      <c r="S39" s="46"/>
      <c r="T39" s="46"/>
    </row>
    <row r="40" spans="1:20">
      <c r="A40" s="399" t="s">
        <v>19</v>
      </c>
      <c r="B40" s="46"/>
      <c r="C40" s="46"/>
      <c r="D40" s="46"/>
      <c r="E40" s="46"/>
      <c r="F40" s="46"/>
      <c r="G40" s="46"/>
      <c r="H40" s="46"/>
      <c r="I40" s="46"/>
      <c r="J40" s="46"/>
      <c r="K40" s="46"/>
      <c r="L40" s="46"/>
      <c r="M40" s="46"/>
      <c r="N40" s="46"/>
      <c r="O40" s="46"/>
      <c r="P40" s="46"/>
      <c r="Q40" s="46"/>
      <c r="R40" s="46"/>
      <c r="S40" s="46"/>
      <c r="T40" s="46"/>
    </row>
    <row r="41" spans="1:20">
      <c r="A41" s="399" t="s">
        <v>20</v>
      </c>
      <c r="B41" s="336" t="s">
        <v>21</v>
      </c>
      <c r="C41" s="336" t="s">
        <v>18</v>
      </c>
      <c r="D41" s="336" t="s">
        <v>22</v>
      </c>
      <c r="E41" s="336" t="s">
        <v>7</v>
      </c>
      <c r="F41" s="336" t="s">
        <v>13</v>
      </c>
      <c r="G41" s="336" t="s">
        <v>16</v>
      </c>
      <c r="H41" s="336" t="s">
        <v>23</v>
      </c>
      <c r="I41" s="336" t="s">
        <v>24</v>
      </c>
      <c r="J41" s="336" t="s">
        <v>25</v>
      </c>
      <c r="K41" s="336" t="s">
        <v>26</v>
      </c>
      <c r="L41" s="336" t="s">
        <v>27</v>
      </c>
      <c r="M41" s="336" t="s">
        <v>28</v>
      </c>
      <c r="N41" s="336" t="s">
        <v>11</v>
      </c>
      <c r="O41" s="46"/>
      <c r="P41" s="46"/>
      <c r="Q41" s="46"/>
      <c r="R41" s="46"/>
      <c r="S41" s="46"/>
      <c r="T41" s="46"/>
    </row>
    <row r="42" spans="1:20">
      <c r="A42" s="373" t="s">
        <v>855</v>
      </c>
      <c r="B42" s="46">
        <v>0.05</v>
      </c>
      <c r="C42" s="46" t="s">
        <v>113</v>
      </c>
      <c r="D42" s="400" t="s">
        <v>2</v>
      </c>
      <c r="E42" s="46" t="s">
        <v>29</v>
      </c>
      <c r="F42" s="32" t="s">
        <v>14</v>
      </c>
      <c r="G42" s="46" t="s">
        <v>30</v>
      </c>
      <c r="H42" s="46">
        <v>1</v>
      </c>
      <c r="I42" s="46">
        <f t="shared" ref="I42:I43" si="3">B42</f>
        <v>0.05</v>
      </c>
      <c r="J42" s="46" t="s">
        <v>31</v>
      </c>
      <c r="K42" s="46" t="s">
        <v>31</v>
      </c>
      <c r="L42" s="46" t="s">
        <v>31</v>
      </c>
      <c r="M42" s="46" t="s">
        <v>31</v>
      </c>
      <c r="N42" s="46"/>
      <c r="O42" s="46"/>
      <c r="P42" s="46"/>
      <c r="Q42" s="46"/>
      <c r="R42" s="46"/>
      <c r="S42" s="46"/>
      <c r="T42" s="46"/>
    </row>
    <row r="43" spans="1:20">
      <c r="A43" s="373" t="s">
        <v>865</v>
      </c>
      <c r="B43" s="412">
        <f>B68</f>
        <v>0.25</v>
      </c>
      <c r="C43" s="46" t="s">
        <v>37</v>
      </c>
      <c r="D43" s="400" t="s">
        <v>2</v>
      </c>
      <c r="E43" s="46" t="s">
        <v>29</v>
      </c>
      <c r="F43" s="32" t="s">
        <v>14</v>
      </c>
      <c r="G43" s="46" t="s">
        <v>33</v>
      </c>
      <c r="H43" s="46">
        <v>1</v>
      </c>
      <c r="I43" s="46">
        <f t="shared" si="3"/>
        <v>0.25</v>
      </c>
      <c r="J43" s="46" t="s">
        <v>31</v>
      </c>
      <c r="K43" s="46" t="s">
        <v>31</v>
      </c>
      <c r="L43" s="46" t="s">
        <v>31</v>
      </c>
      <c r="M43" s="46" t="s">
        <v>31</v>
      </c>
      <c r="N43" s="46"/>
      <c r="O43" s="393"/>
      <c r="P43" s="406"/>
      <c r="Q43" s="46"/>
      <c r="R43" s="46"/>
      <c r="S43" s="46"/>
      <c r="T43" s="46"/>
    </row>
    <row r="44" spans="1:20">
      <c r="A44" s="398" t="s">
        <v>75</v>
      </c>
      <c r="B44" s="342">
        <f>P44</f>
        <v>0.09</v>
      </c>
      <c r="C44" s="46" t="s">
        <v>39</v>
      </c>
      <c r="D44" s="46" t="s">
        <v>40</v>
      </c>
      <c r="E44" s="46" t="s">
        <v>29</v>
      </c>
      <c r="F44" s="32" t="s">
        <v>58</v>
      </c>
      <c r="G44" s="46" t="s">
        <v>33</v>
      </c>
      <c r="H44" s="46">
        <v>2</v>
      </c>
      <c r="I44" s="46">
        <f t="shared" ref="I44" si="4">LN(B44)</f>
        <v>-2.4079456086518722</v>
      </c>
      <c r="J44" s="405">
        <v>7.2284161474004766E-2</v>
      </c>
      <c r="K44" s="46" t="s">
        <v>31</v>
      </c>
      <c r="L44" s="46" t="s">
        <v>31</v>
      </c>
      <c r="M44" s="46" t="s">
        <v>31</v>
      </c>
      <c r="N44" s="46"/>
      <c r="O44" s="393" t="s">
        <v>216</v>
      </c>
      <c r="P44" s="406">
        <v>0.09</v>
      </c>
      <c r="Q44" s="46"/>
      <c r="R44" s="46"/>
      <c r="S44" s="46"/>
      <c r="T44" s="46"/>
    </row>
    <row r="45" spans="1:20">
      <c r="A45" s="404" t="s">
        <v>547</v>
      </c>
      <c r="B45" s="46">
        <f>R45</f>
        <v>2E-3</v>
      </c>
      <c r="C45" s="46" t="s">
        <v>37</v>
      </c>
      <c r="D45" s="46" t="s">
        <v>40</v>
      </c>
      <c r="E45" s="46" t="s">
        <v>29</v>
      </c>
      <c r="F45" s="32" t="s">
        <v>58</v>
      </c>
      <c r="G45" s="46" t="s">
        <v>33</v>
      </c>
      <c r="H45" s="46">
        <v>2</v>
      </c>
      <c r="I45" s="46">
        <f>LN(B45)</f>
        <v>-6.2146080984221914</v>
      </c>
      <c r="J45" s="405">
        <v>7.2284161474004766E-2</v>
      </c>
      <c r="K45" s="46" t="s">
        <v>31</v>
      </c>
      <c r="L45" s="46" t="s">
        <v>31</v>
      </c>
      <c r="M45" s="46" t="s">
        <v>31</v>
      </c>
      <c r="N45" s="46"/>
      <c r="O45" s="393" t="s">
        <v>575</v>
      </c>
      <c r="P45" s="406">
        <v>2</v>
      </c>
      <c r="Q45" s="46" t="s">
        <v>221</v>
      </c>
      <c r="R45" s="46">
        <f>P45*0.001</f>
        <v>2E-3</v>
      </c>
      <c r="S45" s="46"/>
      <c r="T45" s="46"/>
    </row>
    <row r="46" spans="1:20">
      <c r="A46" s="404" t="s">
        <v>866</v>
      </c>
      <c r="B46" s="46">
        <f>R46</f>
        <v>4.0000000000000001E-3</v>
      </c>
      <c r="C46" s="46" t="s">
        <v>37</v>
      </c>
      <c r="D46" s="46" t="s">
        <v>40</v>
      </c>
      <c r="E46" s="46" t="s">
        <v>29</v>
      </c>
      <c r="F46" s="32" t="s">
        <v>35</v>
      </c>
      <c r="G46" s="46" t="s">
        <v>33</v>
      </c>
      <c r="H46" s="46">
        <v>2</v>
      </c>
      <c r="I46" s="46">
        <f>LN(B46)</f>
        <v>-5.521460917862246</v>
      </c>
      <c r="J46" s="405">
        <v>7.2284161474004766E-2</v>
      </c>
      <c r="K46" s="46" t="s">
        <v>31</v>
      </c>
      <c r="L46" s="46" t="s">
        <v>31</v>
      </c>
      <c r="M46" s="46" t="s">
        <v>31</v>
      </c>
      <c r="N46" s="46"/>
      <c r="O46" s="393" t="s">
        <v>575</v>
      </c>
      <c r="P46" s="406">
        <v>4</v>
      </c>
      <c r="Q46" s="46" t="s">
        <v>221</v>
      </c>
      <c r="R46" s="46">
        <f>P46*0.001</f>
        <v>4.0000000000000001E-3</v>
      </c>
      <c r="S46" s="46"/>
      <c r="T46" s="46"/>
    </row>
    <row r="47" spans="1:20">
      <c r="A47" s="404" t="s">
        <v>792</v>
      </c>
      <c r="B47" s="46">
        <f>P47</f>
        <v>3.4</v>
      </c>
      <c r="C47" s="46" t="s">
        <v>37</v>
      </c>
      <c r="D47" s="46" t="s">
        <v>40</v>
      </c>
      <c r="E47" s="46" t="s">
        <v>29</v>
      </c>
      <c r="F47" s="32" t="s">
        <v>741</v>
      </c>
      <c r="G47" s="46" t="s">
        <v>33</v>
      </c>
      <c r="H47" s="46">
        <v>2</v>
      </c>
      <c r="I47" s="46">
        <f>LN(B47)</f>
        <v>1.2237754316221157</v>
      </c>
      <c r="J47" s="405">
        <v>7.2284161474004766E-2</v>
      </c>
      <c r="K47" s="46" t="s">
        <v>31</v>
      </c>
      <c r="L47" s="46" t="s">
        <v>31</v>
      </c>
      <c r="M47" s="46" t="s">
        <v>31</v>
      </c>
      <c r="N47" s="46"/>
      <c r="O47" s="393" t="s">
        <v>221</v>
      </c>
      <c r="P47" s="406">
        <v>3.4</v>
      </c>
      <c r="Q47" s="46"/>
      <c r="R47" s="46"/>
      <c r="S47" s="46"/>
      <c r="T47" s="46"/>
    </row>
    <row r="48" spans="1:20">
      <c r="A48" s="404" t="s">
        <v>226</v>
      </c>
      <c r="B48" s="46">
        <f>R48</f>
        <v>3.3999999999999998E-3</v>
      </c>
      <c r="C48" s="46" t="s">
        <v>42</v>
      </c>
      <c r="D48" s="46" t="s">
        <v>40</v>
      </c>
      <c r="E48" s="46" t="s">
        <v>29</v>
      </c>
      <c r="F48" s="32" t="s">
        <v>741</v>
      </c>
      <c r="G48" s="46" t="s">
        <v>33</v>
      </c>
      <c r="H48" s="46">
        <v>2</v>
      </c>
      <c r="I48" s="46">
        <f t="shared" ref="I48" si="5">LN(B48)</f>
        <v>-5.6839798473600212</v>
      </c>
      <c r="J48" s="405">
        <v>7.2284161474004766E-2</v>
      </c>
      <c r="K48" s="46" t="s">
        <v>31</v>
      </c>
      <c r="L48" s="46" t="s">
        <v>31</v>
      </c>
      <c r="M48" s="46" t="s">
        <v>31</v>
      </c>
      <c r="N48" s="46"/>
      <c r="O48" s="410" t="s">
        <v>858</v>
      </c>
      <c r="P48" s="411">
        <v>3.4</v>
      </c>
      <c r="Q48" s="46" t="s">
        <v>219</v>
      </c>
      <c r="R48" s="46">
        <f>P48/1000</f>
        <v>3.3999999999999998E-3</v>
      </c>
      <c r="S48" s="46"/>
      <c r="T48" s="46"/>
    </row>
    <row r="49" spans="1:20">
      <c r="A49" s="396" t="s">
        <v>5</v>
      </c>
      <c r="B49" s="363" t="s">
        <v>867</v>
      </c>
      <c r="C49" s="364"/>
      <c r="D49" s="345"/>
      <c r="E49" s="345"/>
      <c r="F49" s="345"/>
      <c r="G49" s="345"/>
      <c r="H49" s="345"/>
      <c r="I49" s="345"/>
      <c r="J49" s="345"/>
      <c r="K49" s="345"/>
      <c r="L49" s="345"/>
      <c r="M49" s="345"/>
      <c r="N49" s="345"/>
      <c r="O49" s="345"/>
      <c r="P49" s="345"/>
      <c r="Q49" s="345"/>
      <c r="R49" s="345"/>
      <c r="S49" s="46"/>
      <c r="T49" s="46"/>
    </row>
    <row r="50" spans="1:20">
      <c r="A50" s="398" t="s">
        <v>7</v>
      </c>
      <c r="B50" s="46" t="s">
        <v>779</v>
      </c>
      <c r="C50" s="337"/>
      <c r="D50" s="46"/>
      <c r="E50" s="46"/>
      <c r="F50" s="46"/>
      <c r="G50" s="46"/>
      <c r="H50" s="46"/>
      <c r="I50" s="46"/>
      <c r="J50" s="46"/>
      <c r="K50" s="46"/>
      <c r="L50" s="46"/>
      <c r="M50" s="46"/>
      <c r="N50" s="46"/>
      <c r="O50" s="46"/>
      <c r="P50" s="46"/>
      <c r="Q50" s="46"/>
      <c r="R50" s="46"/>
      <c r="S50" s="46"/>
      <c r="T50" s="46"/>
    </row>
    <row r="51" spans="1:20">
      <c r="A51" s="398" t="s">
        <v>9</v>
      </c>
      <c r="B51" s="46" t="s">
        <v>868</v>
      </c>
      <c r="C51" s="337"/>
      <c r="D51" s="46"/>
      <c r="E51" s="46"/>
      <c r="F51" s="46"/>
      <c r="G51" s="46"/>
      <c r="H51" s="46"/>
      <c r="I51" s="46"/>
      <c r="J51" s="46"/>
      <c r="K51" s="46"/>
      <c r="L51" s="46"/>
      <c r="M51" s="46"/>
      <c r="N51" s="46"/>
      <c r="O51" s="46"/>
      <c r="P51" s="46"/>
      <c r="Q51" s="46"/>
      <c r="R51" s="46"/>
      <c r="S51" s="46"/>
      <c r="T51" s="46"/>
    </row>
    <row r="52" spans="1:20" ht="10.5" customHeight="1">
      <c r="A52" s="398" t="s">
        <v>11</v>
      </c>
      <c r="B52" s="339" t="s">
        <v>789</v>
      </c>
      <c r="C52" s="46"/>
      <c r="D52" s="46"/>
      <c r="E52" s="46"/>
      <c r="F52" s="46"/>
      <c r="G52" s="46"/>
      <c r="H52" s="46"/>
      <c r="I52" s="46"/>
      <c r="J52" s="46"/>
      <c r="K52" s="46"/>
      <c r="L52" s="46"/>
      <c r="M52" s="46"/>
      <c r="N52" s="46"/>
      <c r="O52" s="46"/>
      <c r="P52" s="46"/>
      <c r="Q52" s="46"/>
      <c r="R52" s="46"/>
      <c r="S52" s="46"/>
      <c r="T52" s="46"/>
    </row>
    <row r="53" spans="1:20">
      <c r="A53" s="398" t="s">
        <v>13</v>
      </c>
      <c r="B53" s="46" t="s">
        <v>14</v>
      </c>
      <c r="C53" s="46"/>
      <c r="D53" s="46"/>
      <c r="E53" s="46"/>
      <c r="F53" s="46"/>
      <c r="G53" s="46"/>
      <c r="H53" s="46"/>
      <c r="I53" s="46"/>
      <c r="J53" s="46"/>
      <c r="K53" s="46"/>
      <c r="L53" s="46"/>
      <c r="M53" s="46"/>
      <c r="N53" s="46"/>
      <c r="O53" s="46"/>
      <c r="P53" s="46"/>
      <c r="Q53" s="46"/>
      <c r="R53" s="46"/>
      <c r="S53" s="46"/>
      <c r="T53" s="46"/>
    </row>
    <row r="54" spans="1:20">
      <c r="A54" s="398" t="s">
        <v>15</v>
      </c>
      <c r="B54" s="46">
        <v>6.0000000000000001E-3</v>
      </c>
      <c r="C54" s="46"/>
      <c r="D54" s="46"/>
      <c r="E54" s="46"/>
      <c r="F54" s="46"/>
      <c r="G54" s="46"/>
      <c r="H54" s="46"/>
      <c r="I54" s="46"/>
      <c r="J54" s="46"/>
      <c r="K54" s="46"/>
      <c r="L54" s="46"/>
      <c r="M54" s="46"/>
      <c r="N54" s="46"/>
      <c r="O54" s="46"/>
      <c r="P54" s="46"/>
      <c r="Q54" s="46"/>
      <c r="R54" s="46"/>
      <c r="S54" s="46"/>
      <c r="T54" s="46"/>
    </row>
    <row r="55" spans="1:20">
      <c r="A55" s="398" t="s">
        <v>16</v>
      </c>
      <c r="B55" s="46" t="s">
        <v>17</v>
      </c>
      <c r="C55" s="46"/>
      <c r="D55" s="46"/>
      <c r="E55" s="46"/>
      <c r="F55" s="46"/>
      <c r="G55" s="46"/>
      <c r="H55" s="46"/>
      <c r="I55" s="46"/>
      <c r="J55" s="46"/>
      <c r="K55" s="46"/>
      <c r="L55" s="46"/>
      <c r="M55" s="46"/>
      <c r="N55" s="46"/>
      <c r="O55" s="46"/>
      <c r="P55" s="46"/>
      <c r="Q55" s="46"/>
      <c r="R55" s="46"/>
      <c r="S55" s="46"/>
      <c r="T55" s="46"/>
    </row>
    <row r="56" spans="1:20">
      <c r="A56" s="398" t="s">
        <v>18</v>
      </c>
      <c r="B56" s="46" t="s">
        <v>37</v>
      </c>
      <c r="C56" s="46"/>
      <c r="D56" s="46"/>
      <c r="E56" s="46"/>
      <c r="F56" s="46"/>
      <c r="G56" s="46"/>
      <c r="H56" s="46"/>
      <c r="I56" s="46"/>
      <c r="J56" s="46"/>
      <c r="K56" s="46"/>
      <c r="L56" s="46"/>
      <c r="M56" s="46"/>
      <c r="N56" s="46"/>
      <c r="O56" s="46"/>
      <c r="P56" s="46"/>
      <c r="Q56" s="46"/>
      <c r="R56" s="46"/>
      <c r="S56" s="46"/>
      <c r="T56" s="46"/>
    </row>
    <row r="57" spans="1:20">
      <c r="A57" s="399" t="s">
        <v>19</v>
      </c>
      <c r="B57" s="46"/>
      <c r="C57" s="46"/>
      <c r="D57" s="46"/>
      <c r="E57" s="46"/>
      <c r="F57" s="46"/>
      <c r="G57" s="46"/>
      <c r="H57" s="46"/>
      <c r="I57" s="46"/>
      <c r="J57" s="46"/>
      <c r="K57" s="46"/>
      <c r="L57" s="46"/>
      <c r="M57" s="46"/>
      <c r="N57" s="46"/>
      <c r="O57" s="46"/>
      <c r="P57" s="46"/>
      <c r="Q57" s="46"/>
      <c r="R57" s="46"/>
      <c r="S57" s="46"/>
      <c r="T57" s="46"/>
    </row>
    <row r="58" spans="1:20">
      <c r="A58" s="399" t="s">
        <v>20</v>
      </c>
      <c r="B58" s="336" t="s">
        <v>21</v>
      </c>
      <c r="C58" s="336" t="s">
        <v>18</v>
      </c>
      <c r="D58" s="336" t="s">
        <v>22</v>
      </c>
      <c r="E58" s="336" t="s">
        <v>7</v>
      </c>
      <c r="F58" s="336" t="s">
        <v>13</v>
      </c>
      <c r="G58" s="336" t="s">
        <v>16</v>
      </c>
      <c r="H58" s="336" t="s">
        <v>23</v>
      </c>
      <c r="I58" s="336" t="s">
        <v>24</v>
      </c>
      <c r="J58" s="336" t="s">
        <v>25</v>
      </c>
      <c r="K58" s="336" t="s">
        <v>26</v>
      </c>
      <c r="L58" s="336" t="s">
        <v>27</v>
      </c>
      <c r="M58" s="336" t="s">
        <v>28</v>
      </c>
      <c r="N58" s="336" t="s">
        <v>11</v>
      </c>
      <c r="O58" s="46"/>
      <c r="P58" s="46"/>
      <c r="Q58" s="46"/>
      <c r="R58" s="46"/>
      <c r="S58" s="46"/>
      <c r="T58" s="46"/>
    </row>
    <row r="59" spans="1:20">
      <c r="A59" s="373" t="s">
        <v>867</v>
      </c>
      <c r="B59" s="412">
        <v>6.0000000000000001E-3</v>
      </c>
      <c r="C59" s="46" t="s">
        <v>37</v>
      </c>
      <c r="D59" s="400" t="s">
        <v>2</v>
      </c>
      <c r="E59" s="46" t="s">
        <v>29</v>
      </c>
      <c r="F59" s="32" t="s">
        <v>14</v>
      </c>
      <c r="G59" s="46" t="s">
        <v>30</v>
      </c>
      <c r="H59" s="46">
        <v>1</v>
      </c>
      <c r="I59" s="46">
        <f>B59</f>
        <v>6.0000000000000001E-3</v>
      </c>
      <c r="J59" s="46" t="s">
        <v>31</v>
      </c>
      <c r="K59" s="46" t="s">
        <v>31</v>
      </c>
      <c r="L59" s="46" t="s">
        <v>31</v>
      </c>
      <c r="M59" s="46" t="s">
        <v>31</v>
      </c>
      <c r="N59" s="46"/>
      <c r="O59" s="62"/>
      <c r="P59" s="413"/>
      <c r="Q59" s="46"/>
      <c r="R59" s="46"/>
      <c r="S59" s="46"/>
      <c r="T59" s="46"/>
    </row>
    <row r="60" spans="1:20">
      <c r="A60" s="404" t="s">
        <v>869</v>
      </c>
      <c r="B60" s="342">
        <f>R60</f>
        <v>6.0000000000000001E-3</v>
      </c>
      <c r="C60" s="46" t="s">
        <v>37</v>
      </c>
      <c r="D60" s="46" t="s">
        <v>40</v>
      </c>
      <c r="E60" s="46" t="s">
        <v>29</v>
      </c>
      <c r="F60" s="32" t="s">
        <v>58</v>
      </c>
      <c r="G60" s="46" t="s">
        <v>33</v>
      </c>
      <c r="H60" s="46">
        <v>2</v>
      </c>
      <c r="I60" s="46">
        <f>LN(B60)</f>
        <v>-5.1159958097540823</v>
      </c>
      <c r="J60" s="46">
        <v>7.2284161474004766E-2</v>
      </c>
      <c r="K60" s="46" t="s">
        <v>31</v>
      </c>
      <c r="L60" s="46" t="s">
        <v>31</v>
      </c>
      <c r="M60" s="46" t="s">
        <v>31</v>
      </c>
      <c r="N60" s="46"/>
      <c r="O60" s="393" t="s">
        <v>575</v>
      </c>
      <c r="P60" s="406">
        <v>6</v>
      </c>
      <c r="Q60" s="46" t="s">
        <v>221</v>
      </c>
      <c r="R60" s="46">
        <f>P60*0.001</f>
        <v>6.0000000000000001E-3</v>
      </c>
      <c r="S60" s="46"/>
      <c r="T60" s="46"/>
    </row>
    <row r="61" spans="1:20">
      <c r="A61" s="398" t="s">
        <v>75</v>
      </c>
      <c r="B61" s="342">
        <f>P61</f>
        <v>0.03</v>
      </c>
      <c r="C61" s="46" t="s">
        <v>39</v>
      </c>
      <c r="D61" s="46" t="s">
        <v>40</v>
      </c>
      <c r="E61" s="46" t="s">
        <v>29</v>
      </c>
      <c r="F61" s="32" t="s">
        <v>35</v>
      </c>
      <c r="G61" s="46" t="s">
        <v>33</v>
      </c>
      <c r="H61" s="46">
        <v>2</v>
      </c>
      <c r="I61" s="46">
        <f t="shared" ref="I61:I62" si="6">LN(B61)</f>
        <v>-3.5065578973199818</v>
      </c>
      <c r="J61" s="46">
        <v>7.2284161474004766E-2</v>
      </c>
      <c r="K61" s="46" t="s">
        <v>31</v>
      </c>
      <c r="L61" s="46" t="s">
        <v>31</v>
      </c>
      <c r="M61" s="46" t="s">
        <v>31</v>
      </c>
      <c r="N61" s="46"/>
      <c r="O61" s="393" t="s">
        <v>216</v>
      </c>
      <c r="P61" s="406">
        <v>0.03</v>
      </c>
      <c r="Q61" s="46"/>
      <c r="R61" s="46"/>
      <c r="S61" s="46"/>
      <c r="T61" s="46"/>
    </row>
    <row r="62" spans="1:20">
      <c r="A62" s="373" t="s">
        <v>783</v>
      </c>
      <c r="B62" s="46">
        <v>0.3</v>
      </c>
      <c r="C62" s="46" t="s">
        <v>37</v>
      </c>
      <c r="D62" s="400" t="s">
        <v>2</v>
      </c>
      <c r="E62" s="46" t="s">
        <v>29</v>
      </c>
      <c r="F62" s="32" t="s">
        <v>741</v>
      </c>
      <c r="G62" s="46" t="s">
        <v>33</v>
      </c>
      <c r="H62" s="46">
        <v>2</v>
      </c>
      <c r="I62" s="46">
        <f t="shared" si="6"/>
        <v>-1.2039728043259361</v>
      </c>
      <c r="J62" s="46">
        <v>7.2284161474004766E-2</v>
      </c>
      <c r="K62" s="46" t="s">
        <v>31</v>
      </c>
      <c r="L62" s="46" t="s">
        <v>31</v>
      </c>
      <c r="M62" s="46" t="s">
        <v>31</v>
      </c>
      <c r="N62" s="46"/>
      <c r="O62" s="46"/>
      <c r="P62" s="46"/>
      <c r="Q62" s="46"/>
      <c r="R62" s="46"/>
      <c r="S62" s="46"/>
      <c r="T62" s="46"/>
    </row>
    <row r="63" spans="1:20" s="17" customFormat="1" ht="15.75">
      <c r="A63" s="396" t="s">
        <v>5</v>
      </c>
      <c r="B63" s="363" t="s">
        <v>865</v>
      </c>
      <c r="C63" s="364"/>
      <c r="D63" s="345"/>
      <c r="E63" s="345"/>
      <c r="F63" s="345"/>
      <c r="G63" s="345"/>
      <c r="H63" s="345"/>
      <c r="I63" s="345"/>
      <c r="J63" s="345"/>
      <c r="K63" s="345"/>
      <c r="L63" s="345"/>
      <c r="M63" s="345"/>
      <c r="N63" s="345"/>
      <c r="O63" s="414"/>
      <c r="P63" s="414"/>
      <c r="Q63" s="414"/>
      <c r="R63" s="414"/>
    </row>
    <row r="64" spans="1:20" s="17" customFormat="1" ht="15.75">
      <c r="A64" s="398" t="s">
        <v>7</v>
      </c>
      <c r="B64" s="46" t="s">
        <v>779</v>
      </c>
      <c r="C64" s="337"/>
      <c r="D64" s="46"/>
      <c r="E64" s="46"/>
      <c r="F64" s="46"/>
      <c r="G64" s="46"/>
      <c r="H64" s="46"/>
      <c r="I64" s="46"/>
      <c r="J64" s="46"/>
      <c r="K64" s="46"/>
      <c r="L64" s="46"/>
      <c r="M64" s="46"/>
      <c r="N64" s="46"/>
    </row>
    <row r="65" spans="1:16" s="17" customFormat="1" ht="15.75">
      <c r="A65" s="398" t="s">
        <v>9</v>
      </c>
      <c r="B65" s="46" t="s">
        <v>870</v>
      </c>
      <c r="C65" s="337"/>
      <c r="D65" s="46"/>
      <c r="E65" s="46"/>
      <c r="F65" s="46"/>
      <c r="G65" s="46"/>
      <c r="H65" s="46"/>
      <c r="I65" s="46"/>
      <c r="J65" s="46"/>
      <c r="K65" s="46"/>
      <c r="L65" s="46"/>
      <c r="M65" s="46"/>
      <c r="N65" s="46"/>
    </row>
    <row r="66" spans="1:16" s="17" customFormat="1" ht="10.5" customHeight="1">
      <c r="A66" s="398" t="s">
        <v>11</v>
      </c>
      <c r="B66" s="339" t="s">
        <v>789</v>
      </c>
      <c r="C66" s="46"/>
      <c r="D66" s="46"/>
      <c r="E66" s="46"/>
      <c r="F66" s="46"/>
      <c r="G66" s="46"/>
      <c r="H66" s="46"/>
      <c r="I66" s="46"/>
      <c r="J66" s="46"/>
      <c r="K66" s="46"/>
      <c r="L66" s="46"/>
      <c r="M66" s="46"/>
      <c r="N66" s="46"/>
    </row>
    <row r="67" spans="1:16" s="17" customFormat="1" ht="15.75">
      <c r="A67" s="398" t="s">
        <v>13</v>
      </c>
      <c r="B67" s="46" t="s">
        <v>14</v>
      </c>
      <c r="C67" s="46"/>
      <c r="D67" s="46"/>
      <c r="E67" s="46"/>
      <c r="F67" s="46"/>
      <c r="G67" s="46"/>
      <c r="H67" s="46"/>
      <c r="I67" s="46"/>
      <c r="J67" s="46"/>
      <c r="K67" s="46"/>
      <c r="L67" s="46"/>
      <c r="M67" s="46"/>
      <c r="N67" s="46"/>
    </row>
    <row r="68" spans="1:16" s="17" customFormat="1" ht="15.75">
      <c r="A68" s="398" t="s">
        <v>15</v>
      </c>
      <c r="B68" s="350">
        <v>0.25</v>
      </c>
      <c r="C68" s="46"/>
      <c r="D68" s="46"/>
      <c r="E68" s="46"/>
      <c r="F68" s="46"/>
      <c r="G68" s="46"/>
      <c r="H68" s="46"/>
      <c r="I68" s="46"/>
      <c r="J68" s="46"/>
      <c r="K68" s="46"/>
      <c r="L68" s="46"/>
      <c r="M68" s="46"/>
      <c r="N68" s="46"/>
    </row>
    <row r="69" spans="1:16" s="17" customFormat="1" ht="15.75">
      <c r="A69" s="398" t="s">
        <v>16</v>
      </c>
      <c r="B69" s="46" t="s">
        <v>17</v>
      </c>
      <c r="C69" s="46"/>
      <c r="D69" s="46"/>
      <c r="E69" s="46"/>
      <c r="F69" s="46"/>
      <c r="G69" s="46"/>
      <c r="H69" s="46"/>
      <c r="I69" s="46"/>
      <c r="J69" s="46"/>
      <c r="K69" s="46"/>
      <c r="L69" s="46"/>
      <c r="M69" s="46"/>
      <c r="N69" s="46"/>
    </row>
    <row r="70" spans="1:16" s="17" customFormat="1" ht="15.75">
      <c r="A70" s="398" t="s">
        <v>18</v>
      </c>
      <c r="B70" s="46" t="s">
        <v>37</v>
      </c>
      <c r="C70" s="46"/>
      <c r="D70" s="46"/>
      <c r="E70" s="46"/>
      <c r="F70" s="46"/>
      <c r="G70" s="46"/>
      <c r="H70" s="46"/>
      <c r="I70" s="46"/>
      <c r="J70" s="46"/>
      <c r="K70" s="46"/>
      <c r="L70" s="46"/>
      <c r="M70" s="46"/>
      <c r="N70" s="46"/>
    </row>
    <row r="71" spans="1:16" s="17" customFormat="1" ht="15.75">
      <c r="A71" s="399" t="s">
        <v>19</v>
      </c>
      <c r="B71" s="46"/>
      <c r="C71" s="46"/>
      <c r="D71" s="46"/>
      <c r="E71" s="46"/>
      <c r="F71" s="46"/>
      <c r="G71" s="46"/>
      <c r="H71" s="46"/>
      <c r="I71" s="46"/>
      <c r="J71" s="46"/>
      <c r="K71" s="46"/>
      <c r="L71" s="46"/>
      <c r="M71" s="46"/>
      <c r="N71" s="46"/>
    </row>
    <row r="72" spans="1:16" s="17" customFormat="1" ht="15.75">
      <c r="A72" s="399" t="s">
        <v>20</v>
      </c>
      <c r="B72" s="336" t="s">
        <v>21</v>
      </c>
      <c r="C72" s="336" t="s">
        <v>18</v>
      </c>
      <c r="D72" s="336" t="s">
        <v>22</v>
      </c>
      <c r="E72" s="336" t="s">
        <v>7</v>
      </c>
      <c r="F72" s="336" t="s">
        <v>13</v>
      </c>
      <c r="G72" s="336" t="s">
        <v>16</v>
      </c>
      <c r="H72" s="336" t="s">
        <v>23</v>
      </c>
      <c r="I72" s="336" t="s">
        <v>24</v>
      </c>
      <c r="J72" s="336" t="s">
        <v>25</v>
      </c>
      <c r="K72" s="336" t="s">
        <v>26</v>
      </c>
      <c r="L72" s="336" t="s">
        <v>27</v>
      </c>
      <c r="M72" s="336" t="s">
        <v>28</v>
      </c>
      <c r="N72" s="336" t="s">
        <v>11</v>
      </c>
    </row>
    <row r="73" spans="1:16" s="17" customFormat="1" ht="15.75">
      <c r="A73" s="373" t="s">
        <v>865</v>
      </c>
      <c r="B73" s="350">
        <v>0.25</v>
      </c>
      <c r="C73" s="46" t="s">
        <v>37</v>
      </c>
      <c r="D73" s="400" t="s">
        <v>2</v>
      </c>
      <c r="E73" s="46" t="s">
        <v>29</v>
      </c>
      <c r="F73" s="32" t="s">
        <v>14</v>
      </c>
      <c r="G73" s="46" t="s">
        <v>30</v>
      </c>
      <c r="H73" s="46">
        <v>1</v>
      </c>
      <c r="I73" s="350">
        <f>B73</f>
        <v>0.25</v>
      </c>
      <c r="J73" s="46" t="s">
        <v>31</v>
      </c>
      <c r="K73" s="46" t="s">
        <v>31</v>
      </c>
      <c r="L73" s="46" t="s">
        <v>31</v>
      </c>
      <c r="M73" s="46" t="s">
        <v>31</v>
      </c>
      <c r="N73" s="46"/>
      <c r="O73" s="44"/>
      <c r="P73" s="415"/>
    </row>
    <row r="74" spans="1:16" s="17" customFormat="1" ht="15.75">
      <c r="A74" s="61" t="s">
        <v>704</v>
      </c>
      <c r="B74" s="342">
        <v>0.25</v>
      </c>
      <c r="C74" s="46" t="s">
        <v>37</v>
      </c>
      <c r="D74" s="46" t="s">
        <v>40</v>
      </c>
      <c r="E74" s="46" t="s">
        <v>29</v>
      </c>
      <c r="F74" s="32" t="s">
        <v>58</v>
      </c>
      <c r="G74" s="46" t="s">
        <v>33</v>
      </c>
      <c r="H74" s="46">
        <v>1</v>
      </c>
      <c r="I74" s="350">
        <f t="shared" ref="I74:I75" si="7">B74</f>
        <v>0.25</v>
      </c>
      <c r="J74" s="46" t="s">
        <v>31</v>
      </c>
      <c r="K74" s="46" t="s">
        <v>31</v>
      </c>
      <c r="L74" s="46" t="s">
        <v>31</v>
      </c>
      <c r="M74" s="46" t="s">
        <v>31</v>
      </c>
      <c r="N74" s="46"/>
      <c r="O74" s="44"/>
      <c r="P74" s="415"/>
    </row>
    <row r="75" spans="1:16" s="17" customFormat="1" ht="15.75">
      <c r="A75" s="61" t="s">
        <v>871</v>
      </c>
      <c r="B75" s="342">
        <f>B74</f>
        <v>0.25</v>
      </c>
      <c r="C75" s="46" t="s">
        <v>37</v>
      </c>
      <c r="D75" s="46" t="s">
        <v>40</v>
      </c>
      <c r="E75" s="46" t="s">
        <v>29</v>
      </c>
      <c r="F75" s="32" t="s">
        <v>58</v>
      </c>
      <c r="G75" s="46" t="s">
        <v>33</v>
      </c>
      <c r="H75" s="46">
        <v>1</v>
      </c>
      <c r="I75" s="350">
        <f t="shared" si="7"/>
        <v>0.25</v>
      </c>
      <c r="J75" s="46" t="s">
        <v>31</v>
      </c>
      <c r="K75" s="46" t="s">
        <v>31</v>
      </c>
      <c r="L75" s="46" t="s">
        <v>31</v>
      </c>
      <c r="M75" s="46" t="s">
        <v>31</v>
      </c>
      <c r="N75" s="46"/>
      <c r="O75" s="44"/>
      <c r="P75" s="415"/>
    </row>
    <row r="76" spans="1:16" s="414" customFormat="1" ht="15.75">
      <c r="A76" s="362" t="s">
        <v>5</v>
      </c>
      <c r="B76" s="363" t="s">
        <v>872</v>
      </c>
      <c r="C76" s="364"/>
      <c r="D76" s="345"/>
      <c r="E76" s="345"/>
      <c r="F76" s="345"/>
      <c r="G76" s="345"/>
      <c r="H76" s="345"/>
      <c r="I76" s="345"/>
      <c r="J76" s="345"/>
      <c r="K76" s="345"/>
      <c r="L76" s="345"/>
      <c r="M76" s="345"/>
      <c r="N76" s="345"/>
    </row>
    <row r="77" spans="1:16" s="17" customFormat="1" ht="15.75">
      <c r="A77" s="338" t="s">
        <v>7</v>
      </c>
      <c r="B77" s="46" t="s">
        <v>779</v>
      </c>
      <c r="C77" s="337"/>
      <c r="D77" s="46"/>
      <c r="E77" s="46"/>
      <c r="F77" s="46"/>
      <c r="G77" s="46"/>
      <c r="H77" s="46"/>
      <c r="I77" s="46"/>
      <c r="J77" s="46"/>
      <c r="K77" s="46"/>
      <c r="L77" s="46"/>
      <c r="M77" s="46"/>
      <c r="N77" s="46"/>
    </row>
    <row r="78" spans="1:16" s="17" customFormat="1" ht="15.75">
      <c r="A78" s="416" t="s">
        <v>9</v>
      </c>
      <c r="B78" s="46" t="s">
        <v>873</v>
      </c>
      <c r="C78" s="337"/>
      <c r="D78" s="46"/>
      <c r="E78" s="46"/>
      <c r="F78" s="46"/>
      <c r="G78" s="46"/>
      <c r="H78" s="46"/>
      <c r="I78" s="46"/>
      <c r="J78" s="46"/>
      <c r="K78" s="46"/>
      <c r="L78" s="46"/>
      <c r="M78" s="46"/>
      <c r="N78" s="46"/>
    </row>
    <row r="79" spans="1:16" s="17" customFormat="1" ht="15.75" customHeight="1">
      <c r="A79" s="338" t="s">
        <v>11</v>
      </c>
      <c r="B79" s="339" t="s">
        <v>789</v>
      </c>
      <c r="C79" s="46"/>
      <c r="D79" s="46"/>
      <c r="E79" s="46"/>
      <c r="F79" s="46"/>
      <c r="G79" s="46"/>
      <c r="H79" s="46"/>
      <c r="I79" s="46"/>
      <c r="J79" s="46"/>
      <c r="K79" s="46"/>
      <c r="L79" s="46"/>
      <c r="M79" s="46"/>
      <c r="N79" s="46"/>
    </row>
    <row r="80" spans="1:16" s="17" customFormat="1" ht="15.75">
      <c r="A80" s="338" t="s">
        <v>13</v>
      </c>
      <c r="B80" s="46" t="s">
        <v>14</v>
      </c>
      <c r="C80" s="46"/>
      <c r="D80" s="46"/>
      <c r="E80" s="46"/>
      <c r="F80" s="46"/>
      <c r="G80" s="46"/>
      <c r="H80" s="46"/>
      <c r="I80" s="46"/>
      <c r="J80" s="46"/>
      <c r="K80" s="46"/>
      <c r="L80" s="46"/>
      <c r="M80" s="46"/>
      <c r="N80" s="46"/>
    </row>
    <row r="81" spans="1:19" s="17" customFormat="1" ht="15.75">
      <c r="A81" s="338" t="s">
        <v>15</v>
      </c>
      <c r="B81" s="417">
        <f>B86</f>
        <v>0.63</v>
      </c>
      <c r="C81" s="46"/>
      <c r="D81" s="46"/>
      <c r="E81" s="46"/>
      <c r="F81" s="46"/>
      <c r="G81" s="46"/>
      <c r="H81" s="46"/>
      <c r="I81" s="46"/>
      <c r="J81" s="46"/>
      <c r="K81" s="46"/>
      <c r="L81" s="46"/>
      <c r="M81" s="46"/>
      <c r="N81" s="46"/>
    </row>
    <row r="82" spans="1:19" s="17" customFormat="1" ht="15.75">
      <c r="A82" s="338" t="s">
        <v>16</v>
      </c>
      <c r="B82" s="46" t="s">
        <v>17</v>
      </c>
      <c r="C82" s="46"/>
      <c r="D82" s="46"/>
      <c r="E82" s="46"/>
      <c r="F82" s="46"/>
      <c r="G82" s="46"/>
      <c r="H82" s="46"/>
      <c r="I82" s="46"/>
      <c r="J82" s="46"/>
      <c r="K82" s="46"/>
      <c r="L82" s="46"/>
      <c r="M82" s="46"/>
      <c r="N82" s="46"/>
    </row>
    <row r="83" spans="1:19" s="17" customFormat="1" ht="15.75">
      <c r="A83" s="338" t="s">
        <v>18</v>
      </c>
      <c r="B83" s="46" t="s">
        <v>37</v>
      </c>
      <c r="C83" s="46"/>
      <c r="D83" s="46"/>
      <c r="E83" s="46"/>
      <c r="F83" s="46"/>
      <c r="G83" s="46"/>
      <c r="H83" s="46"/>
      <c r="I83" s="46"/>
      <c r="J83" s="46"/>
      <c r="K83" s="46"/>
      <c r="L83" s="46"/>
      <c r="M83" s="46"/>
      <c r="N83" s="46"/>
      <c r="S83" s="418"/>
    </row>
    <row r="84" spans="1:19" s="17" customFormat="1" ht="15.75">
      <c r="A84" s="335" t="s">
        <v>19</v>
      </c>
      <c r="B84" s="46"/>
      <c r="C84" s="46"/>
      <c r="D84" s="46"/>
      <c r="E84" s="46"/>
      <c r="F84" s="46"/>
      <c r="G84" s="46"/>
      <c r="H84" s="46"/>
      <c r="I84" s="46"/>
      <c r="J84" s="46"/>
      <c r="K84" s="46"/>
      <c r="L84" s="46"/>
      <c r="M84" s="46"/>
      <c r="N84" s="46"/>
    </row>
    <row r="85" spans="1:19" s="17" customFormat="1" ht="15.75">
      <c r="A85" s="336" t="s">
        <v>20</v>
      </c>
      <c r="B85" s="336" t="s">
        <v>21</v>
      </c>
      <c r="C85" s="336" t="s">
        <v>18</v>
      </c>
      <c r="D85" s="336" t="s">
        <v>22</v>
      </c>
      <c r="E85" s="336" t="s">
        <v>7</v>
      </c>
      <c r="F85" s="336" t="s">
        <v>13</v>
      </c>
      <c r="G85" s="336" t="s">
        <v>16</v>
      </c>
      <c r="H85" s="336" t="s">
        <v>23</v>
      </c>
      <c r="I85" s="336" t="s">
        <v>24</v>
      </c>
      <c r="J85" s="336" t="s">
        <v>25</v>
      </c>
      <c r="K85" s="336" t="s">
        <v>26</v>
      </c>
      <c r="L85" s="336" t="s">
        <v>27</v>
      </c>
      <c r="M85" s="336" t="s">
        <v>28</v>
      </c>
      <c r="N85" s="336" t="s">
        <v>11</v>
      </c>
    </row>
    <row r="86" spans="1:19" s="17" customFormat="1" ht="15.75">
      <c r="A86" s="46" t="s">
        <v>872</v>
      </c>
      <c r="B86" s="350">
        <v>0.63</v>
      </c>
      <c r="C86" s="46" t="s">
        <v>37</v>
      </c>
      <c r="D86" s="400" t="s">
        <v>2</v>
      </c>
      <c r="E86" s="46" t="s">
        <v>29</v>
      </c>
      <c r="F86" s="46" t="s">
        <v>14</v>
      </c>
      <c r="G86" s="46" t="s">
        <v>874</v>
      </c>
      <c r="H86" s="46">
        <v>1</v>
      </c>
      <c r="I86" s="350">
        <f>B86</f>
        <v>0.63</v>
      </c>
      <c r="J86" s="46" t="s">
        <v>31</v>
      </c>
      <c r="K86" s="46" t="s">
        <v>31</v>
      </c>
      <c r="L86" s="46" t="s">
        <v>31</v>
      </c>
      <c r="M86" s="46" t="s">
        <v>31</v>
      </c>
      <c r="N86" s="46"/>
      <c r="O86" s="44"/>
      <c r="P86" s="415"/>
    </row>
    <row r="87" spans="1:19" s="17" customFormat="1" ht="15.75">
      <c r="A87" s="47" t="s">
        <v>655</v>
      </c>
      <c r="B87" s="350">
        <v>0.63</v>
      </c>
      <c r="C87" s="46" t="s">
        <v>37</v>
      </c>
      <c r="D87" s="46" t="s">
        <v>40</v>
      </c>
      <c r="E87" s="46" t="s">
        <v>29</v>
      </c>
      <c r="F87" s="32" t="s">
        <v>58</v>
      </c>
      <c r="G87" s="46" t="s">
        <v>33</v>
      </c>
      <c r="H87" s="46">
        <v>1</v>
      </c>
      <c r="I87" s="350">
        <f t="shared" ref="I87:I89" si="8">B87</f>
        <v>0.63</v>
      </c>
      <c r="J87" s="46" t="s">
        <v>31</v>
      </c>
      <c r="K87" s="46" t="s">
        <v>31</v>
      </c>
      <c r="L87" s="46" t="s">
        <v>31</v>
      </c>
      <c r="M87" s="46" t="s">
        <v>31</v>
      </c>
      <c r="N87" s="46"/>
      <c r="O87" s="44"/>
      <c r="P87" s="415"/>
    </row>
    <row r="88" spans="1:19" s="17" customFormat="1" ht="15.75">
      <c r="A88" s="47" t="s">
        <v>624</v>
      </c>
      <c r="B88" s="350">
        <v>0.63</v>
      </c>
      <c r="C88" s="46" t="s">
        <v>37</v>
      </c>
      <c r="D88" s="46" t="s">
        <v>40</v>
      </c>
      <c r="E88" s="46" t="s">
        <v>29</v>
      </c>
      <c r="F88" s="32" t="s">
        <v>58</v>
      </c>
      <c r="G88" s="46" t="s">
        <v>33</v>
      </c>
      <c r="H88" s="46">
        <v>1</v>
      </c>
      <c r="I88" s="350">
        <f t="shared" si="8"/>
        <v>0.63</v>
      </c>
      <c r="J88" s="46" t="s">
        <v>31</v>
      </c>
      <c r="K88" s="46" t="s">
        <v>31</v>
      </c>
      <c r="L88" s="46" t="s">
        <v>31</v>
      </c>
      <c r="M88" s="46" t="s">
        <v>31</v>
      </c>
      <c r="N88" s="46"/>
      <c r="O88" s="44"/>
      <c r="P88" s="415"/>
    </row>
    <row r="89" spans="1:19" s="17" customFormat="1" ht="15.75">
      <c r="A89" s="47" t="s">
        <v>875</v>
      </c>
      <c r="B89" s="350">
        <v>0.63</v>
      </c>
      <c r="C89" s="46" t="s">
        <v>37</v>
      </c>
      <c r="D89" s="46" t="s">
        <v>40</v>
      </c>
      <c r="E89" s="46" t="s">
        <v>29</v>
      </c>
      <c r="F89" s="32" t="s">
        <v>35</v>
      </c>
      <c r="G89" s="46" t="s">
        <v>33</v>
      </c>
      <c r="H89" s="46">
        <v>1</v>
      </c>
      <c r="I89" s="350">
        <f t="shared" si="8"/>
        <v>0.63</v>
      </c>
      <c r="J89" s="46" t="s">
        <v>31</v>
      </c>
      <c r="K89" s="46" t="s">
        <v>31</v>
      </c>
      <c r="L89" s="46" t="s">
        <v>31</v>
      </c>
      <c r="M89" s="46" t="s">
        <v>31</v>
      </c>
      <c r="N89" s="46"/>
      <c r="O89" s="44"/>
      <c r="P89" s="415"/>
    </row>
    <row r="90" spans="1:19" s="17" customFormat="1" ht="15.75">
      <c r="A90" s="362" t="s">
        <v>5</v>
      </c>
      <c r="B90" s="363" t="s">
        <v>838</v>
      </c>
      <c r="C90" s="364"/>
      <c r="D90" s="345"/>
      <c r="E90" s="345"/>
      <c r="F90" s="345"/>
      <c r="G90" s="345"/>
      <c r="H90" s="345"/>
      <c r="I90" s="345"/>
      <c r="J90" s="345"/>
      <c r="K90" s="345"/>
      <c r="L90" s="345"/>
      <c r="M90" s="345"/>
      <c r="N90" s="46"/>
    </row>
    <row r="91" spans="1:19" s="17" customFormat="1" ht="15.75">
      <c r="A91" s="338" t="s">
        <v>7</v>
      </c>
      <c r="B91" s="46" t="s">
        <v>779</v>
      </c>
      <c r="C91" s="337"/>
      <c r="D91" s="46"/>
      <c r="E91" s="46"/>
      <c r="F91" s="46"/>
      <c r="G91" s="46"/>
      <c r="H91" s="46"/>
      <c r="I91" s="46"/>
      <c r="J91" s="46"/>
      <c r="K91" s="46"/>
      <c r="L91" s="46"/>
      <c r="M91" s="46"/>
      <c r="N91" s="46"/>
    </row>
    <row r="92" spans="1:19" s="17" customFormat="1" ht="15.75">
      <c r="A92" s="338" t="s">
        <v>9</v>
      </c>
      <c r="B92" s="373" t="s">
        <v>876</v>
      </c>
      <c r="C92" s="337"/>
      <c r="D92" s="46"/>
      <c r="E92" s="46"/>
      <c r="F92" s="46"/>
      <c r="G92" s="46"/>
      <c r="H92" s="46"/>
      <c r="I92" s="46"/>
      <c r="J92" s="46"/>
      <c r="K92" s="46"/>
      <c r="L92" s="46"/>
      <c r="M92" s="46"/>
      <c r="N92" s="46"/>
    </row>
    <row r="93" spans="1:19" s="17" customFormat="1" ht="15.75">
      <c r="A93" s="338" t="s">
        <v>11</v>
      </c>
      <c r="B93" s="339" t="s">
        <v>781</v>
      </c>
      <c r="C93" s="46"/>
      <c r="D93" s="46"/>
      <c r="E93" s="46"/>
      <c r="F93" s="46"/>
      <c r="G93" s="46"/>
      <c r="H93" s="46"/>
      <c r="I93" s="46"/>
      <c r="J93" s="46"/>
      <c r="K93" s="46"/>
      <c r="L93" s="46"/>
      <c r="M93" s="46"/>
      <c r="N93" s="46"/>
    </row>
    <row r="94" spans="1:19" s="17" customFormat="1" ht="15.75">
      <c r="A94" s="338" t="s">
        <v>13</v>
      </c>
      <c r="B94" s="32" t="s">
        <v>14</v>
      </c>
      <c r="C94" s="46"/>
      <c r="D94" s="46"/>
      <c r="E94" s="46"/>
      <c r="F94" s="46"/>
      <c r="G94" s="46"/>
      <c r="H94" s="46"/>
      <c r="I94" s="46"/>
      <c r="J94" s="46"/>
      <c r="K94" s="46"/>
      <c r="L94" s="46"/>
      <c r="M94" s="46"/>
      <c r="N94" s="46"/>
    </row>
    <row r="95" spans="1:19" s="17" customFormat="1" ht="15.75">
      <c r="A95" s="338" t="s">
        <v>15</v>
      </c>
      <c r="B95" s="46">
        <f>B100</f>
        <v>0.63</v>
      </c>
      <c r="C95" s="46"/>
      <c r="D95" s="46"/>
      <c r="E95" s="46"/>
      <c r="F95" s="46"/>
      <c r="G95" s="46"/>
      <c r="H95" s="46"/>
      <c r="I95" s="46"/>
      <c r="J95" s="46"/>
      <c r="K95" s="46"/>
      <c r="L95" s="46"/>
      <c r="M95" s="46"/>
      <c r="N95" s="46"/>
    </row>
    <row r="96" spans="1:19" s="17" customFormat="1" ht="15.75">
      <c r="A96" s="338" t="s">
        <v>16</v>
      </c>
      <c r="B96" s="46" t="s">
        <v>17</v>
      </c>
      <c r="C96" s="46"/>
      <c r="D96" s="46"/>
      <c r="E96" s="46"/>
      <c r="F96" s="46"/>
      <c r="G96" s="46"/>
      <c r="H96" s="46"/>
      <c r="I96" s="46"/>
      <c r="J96" s="46"/>
      <c r="K96" s="46"/>
      <c r="L96" s="46"/>
      <c r="M96" s="46"/>
      <c r="N96" s="46"/>
    </row>
    <row r="97" spans="1:14" s="17" customFormat="1" ht="15.75">
      <c r="A97" s="338" t="s">
        <v>18</v>
      </c>
      <c r="B97" s="46" t="s">
        <v>37</v>
      </c>
      <c r="C97" s="46"/>
      <c r="D97" s="46"/>
      <c r="E97" s="46"/>
      <c r="F97" s="46"/>
      <c r="G97" s="46"/>
      <c r="H97" s="46"/>
      <c r="I97" s="46"/>
      <c r="J97" s="46"/>
      <c r="K97" s="46"/>
      <c r="L97" s="46"/>
      <c r="M97" s="46"/>
      <c r="N97" s="46"/>
    </row>
    <row r="98" spans="1:14" s="17" customFormat="1" ht="15.75">
      <c r="A98" s="335" t="s">
        <v>19</v>
      </c>
      <c r="B98" s="46"/>
      <c r="C98" s="46"/>
      <c r="D98" s="46"/>
      <c r="E98" s="46"/>
      <c r="F98" s="46"/>
      <c r="G98" s="46"/>
      <c r="H98" s="46"/>
      <c r="I98" s="46"/>
      <c r="J98" s="46"/>
      <c r="K98" s="46"/>
      <c r="L98" s="46"/>
      <c r="M98" s="46"/>
      <c r="N98" s="46"/>
    </row>
    <row r="99" spans="1:14" s="17" customFormat="1" ht="15.75">
      <c r="A99" s="335" t="s">
        <v>20</v>
      </c>
      <c r="B99" s="336" t="s">
        <v>21</v>
      </c>
      <c r="C99" s="336" t="s">
        <v>18</v>
      </c>
      <c r="D99" s="336" t="s">
        <v>22</v>
      </c>
      <c r="E99" s="336" t="s">
        <v>7</v>
      </c>
      <c r="F99" s="336" t="s">
        <v>13</v>
      </c>
      <c r="G99" s="336" t="s">
        <v>16</v>
      </c>
      <c r="H99" s="336" t="s">
        <v>23</v>
      </c>
      <c r="I99" s="336" t="s">
        <v>24</v>
      </c>
      <c r="J99" s="336" t="s">
        <v>25</v>
      </c>
      <c r="K99" s="336" t="s">
        <v>26</v>
      </c>
      <c r="L99" s="336" t="s">
        <v>27</v>
      </c>
      <c r="M99" s="336" t="s">
        <v>28</v>
      </c>
      <c r="N99" s="336" t="s">
        <v>11</v>
      </c>
    </row>
    <row r="100" spans="1:14" s="17" customFormat="1" ht="15.75">
      <c r="A100" s="62" t="s">
        <v>838</v>
      </c>
      <c r="B100" s="62">
        <v>0.63</v>
      </c>
      <c r="C100" s="46" t="s">
        <v>37</v>
      </c>
      <c r="D100" s="46" t="s">
        <v>2</v>
      </c>
      <c r="E100" s="46" t="s">
        <v>29</v>
      </c>
      <c r="F100" s="32" t="s">
        <v>14</v>
      </c>
      <c r="G100" s="46" t="s">
        <v>30</v>
      </c>
      <c r="H100" s="46">
        <v>1</v>
      </c>
      <c r="I100" s="46">
        <f>B100</f>
        <v>0.63</v>
      </c>
      <c r="J100" s="46" t="s">
        <v>31</v>
      </c>
      <c r="K100" s="46" t="s">
        <v>31</v>
      </c>
      <c r="L100" s="46" t="s">
        <v>31</v>
      </c>
      <c r="M100" s="46" t="s">
        <v>31</v>
      </c>
      <c r="N100" s="46"/>
    </row>
    <row r="101" spans="1:14" s="17" customFormat="1" ht="15.75">
      <c r="A101" s="62" t="s">
        <v>872</v>
      </c>
      <c r="B101" s="62">
        <v>0.63</v>
      </c>
      <c r="C101" s="46" t="s">
        <v>37</v>
      </c>
      <c r="D101" s="46" t="s">
        <v>2</v>
      </c>
      <c r="E101" s="46" t="s">
        <v>29</v>
      </c>
      <c r="F101" s="32" t="s">
        <v>14</v>
      </c>
      <c r="G101" s="46" t="s">
        <v>33</v>
      </c>
      <c r="H101" s="46">
        <v>1</v>
      </c>
      <c r="I101" s="46">
        <f>B101</f>
        <v>0.63</v>
      </c>
      <c r="J101" s="46" t="s">
        <v>31</v>
      </c>
      <c r="K101" s="46" t="s">
        <v>31</v>
      </c>
      <c r="L101" s="46" t="s">
        <v>31</v>
      </c>
      <c r="M101" s="46" t="s">
        <v>31</v>
      </c>
      <c r="N101" s="46"/>
    </row>
    <row r="102" spans="1:14" s="17" customFormat="1" ht="15.75">
      <c r="A102" s="121" t="s">
        <v>877</v>
      </c>
      <c r="B102" s="46">
        <v>4.0000000000000001E-3</v>
      </c>
      <c r="C102" s="46" t="s">
        <v>37</v>
      </c>
      <c r="D102" s="46" t="s">
        <v>40</v>
      </c>
      <c r="E102" s="46" t="s">
        <v>29</v>
      </c>
      <c r="F102" s="32" t="s">
        <v>128</v>
      </c>
      <c r="G102" s="46" t="s">
        <v>33</v>
      </c>
      <c r="H102" s="46">
        <v>1</v>
      </c>
      <c r="I102" s="46">
        <f t="shared" ref="I102:I104" si="9">B102</f>
        <v>4.0000000000000001E-3</v>
      </c>
      <c r="J102" s="46" t="s">
        <v>31</v>
      </c>
      <c r="K102" s="46" t="s">
        <v>31</v>
      </c>
      <c r="L102" s="46" t="s">
        <v>31</v>
      </c>
      <c r="M102" s="46" t="s">
        <v>31</v>
      </c>
      <c r="N102" s="46"/>
    </row>
    <row r="103" spans="1:14" s="17" customFormat="1" ht="15.75">
      <c r="A103" s="121" t="s">
        <v>878</v>
      </c>
      <c r="B103" s="46">
        <v>0.08</v>
      </c>
      <c r="C103" s="46" t="s">
        <v>113</v>
      </c>
      <c r="D103" s="46" t="s">
        <v>40</v>
      </c>
      <c r="E103" s="46" t="s">
        <v>29</v>
      </c>
      <c r="F103" s="32" t="s">
        <v>58</v>
      </c>
      <c r="G103" s="46" t="s">
        <v>33</v>
      </c>
      <c r="H103" s="46">
        <v>1</v>
      </c>
      <c r="I103" s="46">
        <f t="shared" si="9"/>
        <v>0.08</v>
      </c>
      <c r="J103" s="46" t="s">
        <v>31</v>
      </c>
      <c r="K103" s="46" t="s">
        <v>31</v>
      </c>
      <c r="L103" s="46" t="s">
        <v>31</v>
      </c>
      <c r="M103" s="46" t="s">
        <v>31</v>
      </c>
      <c r="N103" s="46"/>
    </row>
    <row r="104" spans="1:14" s="17" customFormat="1" ht="15.75">
      <c r="A104" s="121" t="s">
        <v>593</v>
      </c>
      <c r="B104" s="46">
        <v>4.0000000000000001E-3</v>
      </c>
      <c r="C104" s="46" t="s">
        <v>37</v>
      </c>
      <c r="D104" s="46" t="s">
        <v>40</v>
      </c>
      <c r="E104" s="46" t="s">
        <v>29</v>
      </c>
      <c r="F104" s="32" t="s">
        <v>58</v>
      </c>
      <c r="G104" s="46" t="s">
        <v>33</v>
      </c>
      <c r="H104" s="46">
        <v>1</v>
      </c>
      <c r="I104" s="46">
        <f t="shared" si="9"/>
        <v>4.0000000000000001E-3</v>
      </c>
      <c r="J104" s="46" t="s">
        <v>31</v>
      </c>
      <c r="K104" s="46" t="s">
        <v>31</v>
      </c>
      <c r="L104" s="46" t="s">
        <v>31</v>
      </c>
      <c r="M104" s="46" t="s">
        <v>31</v>
      </c>
      <c r="N104" s="46"/>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A77B-5806-43F7-805F-7DDA2D403705}">
  <sheetPr>
    <tabColor theme="9"/>
  </sheetPr>
  <dimension ref="A1:W47"/>
  <sheetViews>
    <sheetView zoomScale="85" zoomScaleNormal="85" workbookViewId="0">
      <selection activeCell="A36" sqref="A36"/>
    </sheetView>
  </sheetViews>
  <sheetFormatPr defaultRowHeight="15"/>
  <cols>
    <col min="1" max="1" width="44.7109375" customWidth="1"/>
    <col min="2" max="2" width="13.5703125" customWidth="1"/>
    <col min="4" max="4" width="23.42578125" customWidth="1"/>
    <col min="7" max="7" width="12.7109375" customWidth="1"/>
  </cols>
  <sheetData>
    <row r="1" spans="1:23">
      <c r="A1" s="46" t="s">
        <v>0</v>
      </c>
      <c r="B1" s="46">
        <v>13</v>
      </c>
      <c r="C1" s="46"/>
      <c r="D1" s="46"/>
      <c r="E1" s="46"/>
      <c r="F1" s="46"/>
      <c r="G1" s="46"/>
      <c r="H1" s="46"/>
      <c r="I1" s="46"/>
      <c r="J1" s="46"/>
      <c r="K1" s="46"/>
      <c r="L1" s="46"/>
      <c r="M1" s="46"/>
      <c r="N1" s="46"/>
      <c r="O1" s="46"/>
      <c r="P1" s="46"/>
      <c r="Q1" s="46"/>
      <c r="R1" s="46"/>
      <c r="S1" s="46"/>
      <c r="T1" s="46"/>
      <c r="U1" s="46"/>
    </row>
    <row r="2" spans="1:23" s="41" customFormat="1">
      <c r="A2" s="362" t="s">
        <v>5</v>
      </c>
      <c r="B2" s="363" t="s">
        <v>833</v>
      </c>
      <c r="C2" s="345"/>
      <c r="D2" s="345"/>
      <c r="E2" s="345"/>
      <c r="F2" s="345"/>
      <c r="G2" s="345"/>
      <c r="H2" s="345"/>
      <c r="I2" s="345"/>
      <c r="J2" s="345"/>
      <c r="K2" s="345"/>
      <c r="L2" s="345"/>
      <c r="M2" s="345"/>
      <c r="N2" s="345"/>
      <c r="O2" s="345"/>
      <c r="P2" s="345"/>
      <c r="Q2" s="345"/>
      <c r="R2" s="345"/>
      <c r="S2" s="345"/>
      <c r="T2" s="345"/>
      <c r="U2" s="345"/>
    </row>
    <row r="3" spans="1:23">
      <c r="A3" s="338" t="s">
        <v>7</v>
      </c>
      <c r="B3" s="46" t="s">
        <v>779</v>
      </c>
      <c r="C3" s="337"/>
      <c r="D3" s="46"/>
      <c r="E3" s="46"/>
      <c r="F3" s="46"/>
      <c r="G3" s="46"/>
      <c r="H3" s="46"/>
      <c r="I3" s="46"/>
      <c r="J3" s="46"/>
      <c r="K3" s="46"/>
      <c r="L3" s="46"/>
      <c r="M3" s="46"/>
      <c r="N3" s="46"/>
      <c r="O3" s="46"/>
      <c r="P3" s="46"/>
      <c r="Q3" s="46"/>
      <c r="R3" s="46"/>
      <c r="S3" s="46"/>
      <c r="T3" s="46"/>
      <c r="U3" s="46"/>
    </row>
    <row r="4" spans="1:23">
      <c r="A4" s="416" t="s">
        <v>9</v>
      </c>
      <c r="B4" s="46" t="s">
        <v>879</v>
      </c>
      <c r="C4" s="337"/>
      <c r="D4" s="46"/>
      <c r="E4" s="46"/>
      <c r="F4" s="46"/>
      <c r="G4" s="46"/>
      <c r="H4" s="46"/>
      <c r="I4" s="46"/>
      <c r="J4" s="46"/>
      <c r="K4" s="46"/>
      <c r="L4" s="46"/>
      <c r="M4" s="46"/>
      <c r="N4" s="46"/>
      <c r="O4" s="46"/>
      <c r="P4" s="46"/>
      <c r="Q4" s="46"/>
      <c r="R4" s="46"/>
      <c r="S4" s="46"/>
      <c r="T4" s="46"/>
      <c r="U4" s="46"/>
    </row>
    <row r="5" spans="1:23" ht="15.75" customHeight="1">
      <c r="A5" s="338" t="s">
        <v>11</v>
      </c>
      <c r="B5" s="339" t="s">
        <v>789</v>
      </c>
      <c r="C5" s="46"/>
      <c r="D5" s="46"/>
      <c r="E5" s="46"/>
      <c r="F5" s="46"/>
      <c r="G5" s="46"/>
      <c r="H5" s="46"/>
      <c r="I5" s="46"/>
      <c r="J5" s="46"/>
      <c r="K5" s="46"/>
      <c r="L5" s="46"/>
      <c r="M5" s="46"/>
      <c r="N5" s="46"/>
      <c r="O5" s="46"/>
      <c r="P5" s="46"/>
      <c r="Q5" s="46"/>
      <c r="R5" s="46"/>
      <c r="S5" s="46"/>
      <c r="T5" s="46"/>
      <c r="U5" s="46"/>
    </row>
    <row r="6" spans="1:23">
      <c r="A6" s="338" t="s">
        <v>13</v>
      </c>
      <c r="B6" s="46" t="s">
        <v>14</v>
      </c>
      <c r="C6" s="46"/>
      <c r="D6" s="46"/>
      <c r="E6" s="46"/>
      <c r="F6" s="46"/>
      <c r="G6" s="46"/>
      <c r="H6" s="46"/>
      <c r="I6" s="46"/>
      <c r="J6" s="46"/>
      <c r="K6" s="46"/>
      <c r="L6" s="46"/>
      <c r="M6" s="46"/>
      <c r="N6" s="46"/>
      <c r="O6" s="46"/>
      <c r="P6" s="46"/>
      <c r="Q6" s="46"/>
      <c r="R6" s="46"/>
      <c r="S6" s="46"/>
      <c r="T6" s="46"/>
      <c r="U6" s="46"/>
    </row>
    <row r="7" spans="1:23">
      <c r="A7" s="338" t="s">
        <v>15</v>
      </c>
      <c r="B7" s="407">
        <f>B12</f>
        <v>0.04</v>
      </c>
      <c r="C7" s="46"/>
      <c r="D7" s="46"/>
      <c r="E7" s="46"/>
      <c r="F7" s="46"/>
      <c r="G7" s="46"/>
      <c r="H7" s="46"/>
      <c r="I7" s="46"/>
      <c r="J7" s="46"/>
      <c r="K7" s="46"/>
      <c r="L7" s="46"/>
      <c r="M7" s="46"/>
      <c r="N7" s="46"/>
      <c r="O7" s="46"/>
      <c r="P7" s="46"/>
      <c r="Q7" s="46"/>
      <c r="R7" s="336" t="s">
        <v>880</v>
      </c>
      <c r="S7" s="46"/>
      <c r="T7" s="46"/>
      <c r="U7" s="46"/>
    </row>
    <row r="8" spans="1:23">
      <c r="A8" s="338" t="s">
        <v>16</v>
      </c>
      <c r="B8" s="46" t="s">
        <v>17</v>
      </c>
      <c r="C8" s="46"/>
      <c r="D8" s="46"/>
      <c r="E8" s="46"/>
      <c r="F8" s="46"/>
      <c r="G8" s="46"/>
      <c r="H8" s="46"/>
      <c r="I8" s="46"/>
      <c r="J8" s="46"/>
      <c r="K8" s="46"/>
      <c r="L8" s="46"/>
      <c r="M8" s="46"/>
      <c r="N8" s="46"/>
      <c r="O8" s="46"/>
      <c r="P8" s="46"/>
      <c r="Q8" s="46"/>
      <c r="R8" s="46" t="s">
        <v>881</v>
      </c>
      <c r="S8" s="46">
        <v>8900</v>
      </c>
      <c r="T8" s="46" t="s">
        <v>882</v>
      </c>
      <c r="U8" s="46"/>
    </row>
    <row r="9" spans="1:23">
      <c r="A9" s="338" t="s">
        <v>18</v>
      </c>
      <c r="B9" s="46" t="s">
        <v>37</v>
      </c>
      <c r="C9" s="46"/>
      <c r="D9" s="46"/>
      <c r="E9" s="46"/>
      <c r="F9" s="46"/>
      <c r="G9" s="46"/>
      <c r="H9" s="46"/>
      <c r="I9" s="46"/>
      <c r="J9" s="46"/>
      <c r="K9" s="46"/>
      <c r="L9" s="46"/>
      <c r="M9" s="46"/>
      <c r="N9" s="46"/>
      <c r="O9" s="46"/>
      <c r="P9" s="46"/>
      <c r="Q9" s="46"/>
      <c r="R9" s="46" t="s">
        <v>883</v>
      </c>
      <c r="S9" s="46">
        <f>5*10^-6</f>
        <v>4.9999999999999996E-6</v>
      </c>
      <c r="T9" s="46" t="s">
        <v>884</v>
      </c>
      <c r="U9" s="46"/>
    </row>
    <row r="10" spans="1:23">
      <c r="A10" s="335" t="s">
        <v>19</v>
      </c>
      <c r="B10" s="46"/>
      <c r="C10" s="46"/>
      <c r="D10" s="46"/>
      <c r="E10" s="46"/>
      <c r="F10" s="46"/>
      <c r="G10" s="46"/>
      <c r="H10" s="46"/>
      <c r="I10" s="46"/>
      <c r="J10" s="46"/>
      <c r="K10" s="46"/>
      <c r="L10" s="46"/>
      <c r="M10" s="46"/>
      <c r="N10" s="46"/>
      <c r="O10" s="46"/>
      <c r="P10" s="46"/>
      <c r="Q10" s="46"/>
      <c r="R10" s="419" t="s">
        <v>885</v>
      </c>
      <c r="S10" s="420">
        <f>S9*S8</f>
        <v>4.4499999999999998E-2</v>
      </c>
      <c r="T10" s="421" t="s">
        <v>886</v>
      </c>
      <c r="U10" s="46"/>
    </row>
    <row r="11" spans="1:23">
      <c r="A11" s="336"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c r="O11" s="46"/>
      <c r="P11" s="46"/>
      <c r="Q11" s="46"/>
      <c r="R11" s="46"/>
      <c r="S11" s="46"/>
      <c r="T11" s="46"/>
      <c r="U11" s="46"/>
      <c r="W11" s="116"/>
    </row>
    <row r="12" spans="1:23">
      <c r="A12" s="46" t="s">
        <v>833</v>
      </c>
      <c r="B12" s="407">
        <v>0.04</v>
      </c>
      <c r="C12" s="46" t="s">
        <v>37</v>
      </c>
      <c r="D12" s="400" t="s">
        <v>2</v>
      </c>
      <c r="E12" s="46" t="s">
        <v>29</v>
      </c>
      <c r="F12" s="46" t="s">
        <v>14</v>
      </c>
      <c r="G12" s="46" t="s">
        <v>30</v>
      </c>
      <c r="H12" s="46">
        <v>1</v>
      </c>
      <c r="I12" s="407">
        <f>B12</f>
        <v>0.04</v>
      </c>
      <c r="J12" s="46" t="s">
        <v>31</v>
      </c>
      <c r="K12" s="46" t="s">
        <v>31</v>
      </c>
      <c r="L12" s="46" t="s">
        <v>31</v>
      </c>
      <c r="M12" s="46" t="s">
        <v>31</v>
      </c>
      <c r="N12" s="46"/>
      <c r="O12" s="393" t="s">
        <v>887</v>
      </c>
      <c r="P12" s="406">
        <f>B12*100</f>
        <v>4</v>
      </c>
      <c r="Q12" s="46"/>
      <c r="R12" s="46" t="s">
        <v>548</v>
      </c>
      <c r="S12" s="46"/>
      <c r="T12" s="46"/>
      <c r="U12" s="402"/>
    </row>
    <row r="13" spans="1:23">
      <c r="A13" s="46" t="s">
        <v>888</v>
      </c>
      <c r="B13" s="407">
        <f>B23</f>
        <v>0.04</v>
      </c>
      <c r="C13" s="46" t="s">
        <v>113</v>
      </c>
      <c r="D13" s="400" t="s">
        <v>2</v>
      </c>
      <c r="E13" s="46" t="s">
        <v>29</v>
      </c>
      <c r="F13" s="46" t="s">
        <v>14</v>
      </c>
      <c r="G13" s="46" t="s">
        <v>33</v>
      </c>
      <c r="H13" s="46">
        <v>1</v>
      </c>
      <c r="I13" s="407">
        <f t="shared" ref="I13:I14" si="0">B13</f>
        <v>0.04</v>
      </c>
      <c r="J13" s="46">
        <v>7.2284161474004766E-2</v>
      </c>
      <c r="K13" s="46" t="s">
        <v>31</v>
      </c>
      <c r="L13" s="46" t="s">
        <v>31</v>
      </c>
      <c r="M13" s="46" t="s">
        <v>31</v>
      </c>
      <c r="N13" s="46"/>
      <c r="O13" s="393" t="s">
        <v>887</v>
      </c>
      <c r="P13" s="406">
        <f>B13*100</f>
        <v>4</v>
      </c>
      <c r="Q13" s="46"/>
      <c r="R13" s="422">
        <v>0.17</v>
      </c>
      <c r="S13" s="423" t="s">
        <v>605</v>
      </c>
      <c r="T13" s="422">
        <f>R13*S10</f>
        <v>7.5650000000000005E-3</v>
      </c>
      <c r="U13" s="423" t="s">
        <v>221</v>
      </c>
    </row>
    <row r="14" spans="1:23">
      <c r="A14" s="62" t="s">
        <v>867</v>
      </c>
      <c r="B14" s="412">
        <v>0.17</v>
      </c>
      <c r="C14" s="46" t="s">
        <v>37</v>
      </c>
      <c r="D14" s="400" t="s">
        <v>2</v>
      </c>
      <c r="E14" s="46" t="s">
        <v>29</v>
      </c>
      <c r="F14" s="32" t="s">
        <v>14</v>
      </c>
      <c r="G14" s="46" t="s">
        <v>33</v>
      </c>
      <c r="H14" s="46">
        <v>1</v>
      </c>
      <c r="I14" s="407">
        <f t="shared" si="0"/>
        <v>0.17</v>
      </c>
      <c r="J14" s="46">
        <v>7.2284161474004766E-2</v>
      </c>
      <c r="K14" s="46" t="s">
        <v>31</v>
      </c>
      <c r="L14" s="46" t="s">
        <v>31</v>
      </c>
      <c r="M14" s="46" t="s">
        <v>31</v>
      </c>
      <c r="N14" s="46"/>
      <c r="O14" s="424"/>
      <c r="P14" s="425"/>
      <c r="Q14" s="46"/>
      <c r="R14" s="46"/>
      <c r="S14" s="46"/>
      <c r="T14" s="46"/>
      <c r="U14" s="46"/>
    </row>
    <row r="15" spans="1:23">
      <c r="A15" s="338" t="s">
        <v>792</v>
      </c>
      <c r="B15" s="46">
        <v>1.3</v>
      </c>
      <c r="C15" s="46" t="s">
        <v>37</v>
      </c>
      <c r="D15" s="46" t="s">
        <v>40</v>
      </c>
      <c r="E15" s="46" t="s">
        <v>29</v>
      </c>
      <c r="F15" s="32" t="s">
        <v>741</v>
      </c>
      <c r="G15" s="46" t="s">
        <v>33</v>
      </c>
      <c r="H15" s="46">
        <v>2</v>
      </c>
      <c r="I15" s="46">
        <f t="shared" ref="I15" si="1">LN(B15)</f>
        <v>0.26236426446749106</v>
      </c>
      <c r="J15" s="46">
        <v>7.2284161474004766E-2</v>
      </c>
      <c r="K15" s="46" t="s">
        <v>31</v>
      </c>
      <c r="L15" s="46" t="s">
        <v>31</v>
      </c>
      <c r="M15" s="46" t="s">
        <v>31</v>
      </c>
      <c r="N15" s="46"/>
      <c r="O15" s="424"/>
      <c r="P15" s="425"/>
      <c r="Q15" s="46"/>
      <c r="R15" s="46"/>
      <c r="S15" s="46"/>
      <c r="T15" s="46"/>
      <c r="U15" s="46"/>
    </row>
    <row r="16" spans="1:23">
      <c r="A16" s="32" t="s">
        <v>869</v>
      </c>
      <c r="B16" s="426">
        <f>T13</f>
        <v>7.5650000000000005E-3</v>
      </c>
      <c r="C16" s="46" t="s">
        <v>37</v>
      </c>
      <c r="D16" s="46" t="s">
        <v>40</v>
      </c>
      <c r="E16" s="46" t="s">
        <v>29</v>
      </c>
      <c r="F16" s="32" t="s">
        <v>58</v>
      </c>
      <c r="G16" s="46" t="s">
        <v>33</v>
      </c>
      <c r="H16" s="46">
        <v>2</v>
      </c>
      <c r="I16" s="46">
        <f>LN(B16)</f>
        <v>-4.8842229317418173</v>
      </c>
      <c r="J16" s="46">
        <v>7.2284161474004766E-2</v>
      </c>
      <c r="K16" s="46" t="s">
        <v>31</v>
      </c>
      <c r="L16" s="46" t="s">
        <v>31</v>
      </c>
      <c r="M16" s="46" t="s">
        <v>31</v>
      </c>
      <c r="N16" s="46"/>
      <c r="O16" s="424"/>
      <c r="P16" s="425"/>
      <c r="Q16" s="46"/>
      <c r="R16" s="46"/>
      <c r="S16" s="46"/>
      <c r="T16" s="46"/>
      <c r="U16" s="46"/>
    </row>
    <row r="17" spans="1:21">
      <c r="A17" s="32" t="s">
        <v>226</v>
      </c>
      <c r="B17" s="46">
        <f>0.001*1.3</f>
        <v>1.3000000000000002E-3</v>
      </c>
      <c r="C17" s="46" t="s">
        <v>42</v>
      </c>
      <c r="D17" s="46" t="s">
        <v>40</v>
      </c>
      <c r="E17" s="46" t="s">
        <v>29</v>
      </c>
      <c r="F17" s="32" t="s">
        <v>741</v>
      </c>
      <c r="G17" s="46" t="s">
        <v>33</v>
      </c>
      <c r="H17" s="46">
        <v>2</v>
      </c>
      <c r="I17" s="46">
        <f t="shared" ref="I17" si="2">LN(B17)</f>
        <v>-6.6453910145146455</v>
      </c>
      <c r="J17" s="46">
        <v>7.2284161474004766E-2</v>
      </c>
      <c r="K17" s="46" t="s">
        <v>31</v>
      </c>
      <c r="L17" s="46" t="s">
        <v>31</v>
      </c>
      <c r="M17" s="46" t="s">
        <v>31</v>
      </c>
      <c r="N17" s="46"/>
      <c r="O17" s="62"/>
      <c r="P17" s="413"/>
      <c r="Q17" s="427"/>
      <c r="R17" s="46"/>
      <c r="S17" s="46"/>
      <c r="T17" s="46"/>
      <c r="U17" s="46"/>
    </row>
    <row r="18" spans="1:21" s="41" customFormat="1">
      <c r="A18" s="362" t="s">
        <v>5</v>
      </c>
      <c r="B18" s="363" t="s">
        <v>888</v>
      </c>
      <c r="C18" s="345"/>
      <c r="D18" s="345"/>
      <c r="E18" s="345"/>
      <c r="F18" s="345"/>
      <c r="G18" s="345"/>
      <c r="H18" s="345"/>
      <c r="I18" s="345"/>
      <c r="J18" s="345"/>
      <c r="K18" s="345"/>
      <c r="L18" s="345"/>
      <c r="M18" s="345"/>
      <c r="N18" s="345"/>
      <c r="O18" s="345"/>
      <c r="P18" s="345"/>
      <c r="Q18" s="345"/>
      <c r="R18" s="345"/>
      <c r="S18" s="345"/>
      <c r="T18" s="345"/>
      <c r="U18" s="345"/>
    </row>
    <row r="19" spans="1:21">
      <c r="A19" s="338" t="s">
        <v>7</v>
      </c>
      <c r="B19" s="46" t="s">
        <v>779</v>
      </c>
      <c r="C19" s="337"/>
      <c r="D19" s="46"/>
      <c r="E19" s="46"/>
      <c r="F19" s="46"/>
      <c r="G19" s="46"/>
      <c r="H19" s="46"/>
      <c r="I19" s="46"/>
      <c r="J19" s="46"/>
      <c r="K19" s="46"/>
      <c r="L19" s="46"/>
      <c r="M19" s="46"/>
      <c r="N19" s="46"/>
      <c r="O19" s="46"/>
      <c r="P19" s="46"/>
      <c r="Q19" s="46"/>
      <c r="R19" s="46"/>
      <c r="S19" s="46"/>
      <c r="T19" s="46"/>
      <c r="U19" s="46"/>
    </row>
    <row r="20" spans="1:21">
      <c r="A20" s="416" t="s">
        <v>9</v>
      </c>
      <c r="B20" s="46" t="s">
        <v>889</v>
      </c>
      <c r="C20" s="337"/>
      <c r="D20" s="46"/>
      <c r="E20" s="46"/>
      <c r="F20" s="46"/>
      <c r="G20" s="46"/>
      <c r="H20" s="46"/>
      <c r="I20" s="46"/>
      <c r="J20" s="46"/>
      <c r="K20" s="46"/>
      <c r="L20" s="46"/>
      <c r="M20" s="46"/>
      <c r="N20" s="46"/>
      <c r="O20" s="46"/>
      <c r="P20" s="46"/>
      <c r="Q20" s="46"/>
      <c r="R20" s="46"/>
      <c r="S20" s="46"/>
      <c r="T20" s="46"/>
      <c r="U20" s="46"/>
    </row>
    <row r="21" spans="1:21" ht="15.75" customHeight="1">
      <c r="A21" s="338" t="s">
        <v>11</v>
      </c>
      <c r="B21" s="339" t="s">
        <v>789</v>
      </c>
      <c r="C21" s="46"/>
      <c r="D21" s="46"/>
      <c r="E21" s="46"/>
      <c r="F21" s="46"/>
      <c r="G21" s="46"/>
      <c r="H21" s="46"/>
      <c r="I21" s="46"/>
      <c r="J21" s="46"/>
      <c r="K21" s="46"/>
      <c r="L21" s="46"/>
      <c r="M21" s="46"/>
      <c r="N21" s="46"/>
      <c r="O21" s="46"/>
      <c r="P21" s="46"/>
      <c r="Q21" s="46"/>
      <c r="R21" s="46"/>
      <c r="S21" s="46"/>
      <c r="T21" s="46"/>
      <c r="U21" s="46"/>
    </row>
    <row r="22" spans="1:21">
      <c r="A22" s="338" t="s">
        <v>13</v>
      </c>
      <c r="B22" s="46" t="s">
        <v>14</v>
      </c>
      <c r="C22" s="46"/>
      <c r="D22" s="46"/>
      <c r="E22" s="46"/>
      <c r="F22" s="46"/>
      <c r="G22" s="46"/>
      <c r="H22" s="46"/>
      <c r="I22" s="46"/>
      <c r="J22" s="46"/>
      <c r="K22" s="46"/>
      <c r="L22" s="46"/>
      <c r="M22" s="46"/>
      <c r="N22" s="46"/>
      <c r="O22" s="46"/>
      <c r="P22" s="46"/>
      <c r="Q22" s="46"/>
      <c r="R22" s="46"/>
      <c r="S22" s="46"/>
      <c r="T22" s="46"/>
      <c r="U22" s="46"/>
    </row>
    <row r="23" spans="1:21">
      <c r="A23" s="338" t="s">
        <v>15</v>
      </c>
      <c r="B23" s="407">
        <f>B28</f>
        <v>0.04</v>
      </c>
      <c r="C23" s="46"/>
      <c r="D23" s="46"/>
      <c r="E23" s="46"/>
      <c r="F23" s="46"/>
      <c r="G23" s="46"/>
      <c r="H23" s="46"/>
      <c r="I23" s="46"/>
      <c r="J23" s="46"/>
      <c r="K23" s="46"/>
      <c r="L23" s="46"/>
      <c r="M23" s="46"/>
      <c r="N23" s="46"/>
      <c r="O23" s="46"/>
      <c r="P23" s="46"/>
      <c r="Q23" s="46"/>
      <c r="R23" s="46"/>
      <c r="S23" s="46"/>
      <c r="T23" s="46"/>
      <c r="U23" s="46"/>
    </row>
    <row r="24" spans="1:21">
      <c r="A24" s="338" t="s">
        <v>16</v>
      </c>
      <c r="B24" s="46" t="s">
        <v>17</v>
      </c>
      <c r="C24" s="46"/>
      <c r="D24" s="46"/>
      <c r="E24" s="46"/>
      <c r="F24" s="46"/>
      <c r="G24" s="46"/>
      <c r="H24" s="46"/>
      <c r="I24" s="46"/>
      <c r="J24" s="46"/>
      <c r="K24" s="46"/>
      <c r="L24" s="46"/>
      <c r="M24" s="46"/>
      <c r="N24" s="46"/>
      <c r="O24" s="46"/>
      <c r="P24" s="46"/>
      <c r="Q24" s="46"/>
      <c r="R24" s="46"/>
      <c r="S24" s="46"/>
      <c r="T24" s="46"/>
      <c r="U24" s="46"/>
    </row>
    <row r="25" spans="1:21">
      <c r="A25" s="338" t="s">
        <v>18</v>
      </c>
      <c r="B25" s="46" t="s">
        <v>113</v>
      </c>
      <c r="C25" s="46"/>
      <c r="D25" s="46"/>
      <c r="E25" s="46"/>
      <c r="F25" s="46"/>
      <c r="G25" s="46"/>
      <c r="H25" s="46"/>
      <c r="I25" s="46"/>
      <c r="J25" s="46"/>
      <c r="K25" s="46"/>
      <c r="L25" s="46"/>
      <c r="M25" s="46"/>
      <c r="N25" s="46"/>
      <c r="O25" s="46"/>
      <c r="P25" s="46"/>
      <c r="Q25" s="46"/>
      <c r="R25" s="46"/>
      <c r="S25" s="46"/>
      <c r="T25" s="46"/>
      <c r="U25" s="46"/>
    </row>
    <row r="26" spans="1:21">
      <c r="A26" s="335" t="s">
        <v>19</v>
      </c>
      <c r="B26" s="46"/>
      <c r="C26" s="46"/>
      <c r="D26" s="46"/>
      <c r="E26" s="46"/>
      <c r="F26" s="46"/>
      <c r="G26" s="46"/>
      <c r="H26" s="46"/>
      <c r="I26" s="46"/>
      <c r="J26" s="46"/>
      <c r="K26" s="46"/>
      <c r="L26" s="46"/>
      <c r="M26" s="46"/>
      <c r="N26" s="46"/>
      <c r="O26" s="46"/>
      <c r="P26" s="46"/>
      <c r="Q26" s="46"/>
      <c r="R26" s="46"/>
      <c r="S26" s="46"/>
      <c r="T26" s="46"/>
      <c r="U26" s="46"/>
    </row>
    <row r="27" spans="1:21">
      <c r="A27" s="336" t="s">
        <v>20</v>
      </c>
      <c r="B27" s="336" t="s">
        <v>21</v>
      </c>
      <c r="C27" s="336" t="s">
        <v>18</v>
      </c>
      <c r="D27" s="336" t="s">
        <v>22</v>
      </c>
      <c r="E27" s="336" t="s">
        <v>7</v>
      </c>
      <c r="F27" s="336" t="s">
        <v>13</v>
      </c>
      <c r="G27" s="336" t="s">
        <v>16</v>
      </c>
      <c r="H27" s="336" t="s">
        <v>23</v>
      </c>
      <c r="I27" s="336" t="s">
        <v>24</v>
      </c>
      <c r="J27" s="336" t="s">
        <v>25</v>
      </c>
      <c r="K27" s="336" t="s">
        <v>26</v>
      </c>
      <c r="L27" s="336" t="s">
        <v>27</v>
      </c>
      <c r="M27" s="336" t="s">
        <v>28</v>
      </c>
      <c r="N27" s="336" t="s">
        <v>11</v>
      </c>
      <c r="O27" s="46"/>
      <c r="P27" s="46"/>
      <c r="Q27" s="46"/>
      <c r="R27" s="46"/>
      <c r="S27" s="46"/>
      <c r="T27" s="407"/>
      <c r="U27" s="46"/>
    </row>
    <row r="28" spans="1:21">
      <c r="A28" s="46" t="s">
        <v>888</v>
      </c>
      <c r="B28" s="407">
        <v>0.04</v>
      </c>
      <c r="C28" s="46" t="s">
        <v>113</v>
      </c>
      <c r="D28" s="400" t="s">
        <v>2</v>
      </c>
      <c r="E28" s="46" t="s">
        <v>29</v>
      </c>
      <c r="F28" s="46" t="s">
        <v>14</v>
      </c>
      <c r="G28" s="46" t="s">
        <v>30</v>
      </c>
      <c r="H28" s="46">
        <v>1</v>
      </c>
      <c r="I28" s="407">
        <f>B28</f>
        <v>0.04</v>
      </c>
      <c r="J28" s="46">
        <v>7.2284161474004766E-2</v>
      </c>
      <c r="K28" s="46" t="s">
        <v>31</v>
      </c>
      <c r="L28" s="46" t="s">
        <v>31</v>
      </c>
      <c r="M28" s="46" t="s">
        <v>31</v>
      </c>
      <c r="N28" s="46"/>
      <c r="O28" s="393" t="s">
        <v>887</v>
      </c>
      <c r="P28" s="406">
        <f>B28*100</f>
        <v>4</v>
      </c>
      <c r="Q28" s="46"/>
      <c r="R28" s="46"/>
      <c r="S28" s="46"/>
      <c r="T28" s="46"/>
      <c r="U28" s="46"/>
    </row>
    <row r="29" spans="1:21">
      <c r="A29" s="46" t="s">
        <v>890</v>
      </c>
      <c r="B29" s="407">
        <v>0.04</v>
      </c>
      <c r="C29" s="46" t="s">
        <v>113</v>
      </c>
      <c r="D29" s="400" t="s">
        <v>2</v>
      </c>
      <c r="E29" s="46" t="s">
        <v>29</v>
      </c>
      <c r="F29" s="46" t="s">
        <v>14</v>
      </c>
      <c r="G29" s="46" t="s">
        <v>33</v>
      </c>
      <c r="H29" s="46">
        <v>1</v>
      </c>
      <c r="I29" s="407">
        <f>B29</f>
        <v>0.04</v>
      </c>
      <c r="J29" s="46">
        <v>7.2284161474004766E-2</v>
      </c>
      <c r="K29" s="46" t="s">
        <v>31</v>
      </c>
      <c r="L29" s="46" t="s">
        <v>31</v>
      </c>
      <c r="M29" s="46" t="s">
        <v>31</v>
      </c>
      <c r="N29" s="46"/>
      <c r="O29" s="46"/>
      <c r="P29" s="46"/>
      <c r="Q29" s="46"/>
      <c r="R29" s="46"/>
      <c r="S29" s="46"/>
      <c r="T29" s="46"/>
      <c r="U29" s="46"/>
    </row>
    <row r="30" spans="1:21">
      <c r="A30" s="338" t="s">
        <v>75</v>
      </c>
      <c r="B30" s="342">
        <f>P30</f>
        <v>0.09</v>
      </c>
      <c r="C30" s="46" t="s">
        <v>39</v>
      </c>
      <c r="D30" s="46" t="s">
        <v>40</v>
      </c>
      <c r="E30" s="46" t="s">
        <v>29</v>
      </c>
      <c r="F30" s="32" t="s">
        <v>35</v>
      </c>
      <c r="G30" s="46" t="s">
        <v>33</v>
      </c>
      <c r="H30" s="46">
        <v>2</v>
      </c>
      <c r="I30" s="46">
        <f t="shared" ref="I30:I34" si="3">LN(B30)</f>
        <v>-2.4079456086518722</v>
      </c>
      <c r="J30" s="46">
        <v>0.20928449536456342</v>
      </c>
      <c r="K30" s="46" t="s">
        <v>31</v>
      </c>
      <c r="L30" s="46" t="s">
        <v>31</v>
      </c>
      <c r="M30" s="46" t="s">
        <v>31</v>
      </c>
      <c r="N30" s="46"/>
      <c r="O30" s="393" t="s">
        <v>216</v>
      </c>
      <c r="P30" s="406">
        <v>0.09</v>
      </c>
      <c r="Q30" s="46"/>
      <c r="R30" s="46"/>
      <c r="S30" s="46"/>
      <c r="T30" s="46"/>
      <c r="U30" s="46"/>
    </row>
    <row r="31" spans="1:21">
      <c r="A31" s="404" t="s">
        <v>547</v>
      </c>
      <c r="B31" s="46">
        <f>R31</f>
        <v>2E-3</v>
      </c>
      <c r="C31" s="46" t="s">
        <v>37</v>
      </c>
      <c r="D31" s="46" t="s">
        <v>40</v>
      </c>
      <c r="E31" s="46" t="s">
        <v>29</v>
      </c>
      <c r="F31" s="32" t="s">
        <v>58</v>
      </c>
      <c r="G31" s="46" t="s">
        <v>33</v>
      </c>
      <c r="H31" s="46">
        <v>2</v>
      </c>
      <c r="I31" s="46">
        <f>LN(B31)</f>
        <v>-6.2146080984221914</v>
      </c>
      <c r="J31" s="405">
        <v>7.2284161474004766E-2</v>
      </c>
      <c r="K31" s="46" t="s">
        <v>31</v>
      </c>
      <c r="L31" s="46" t="s">
        <v>31</v>
      </c>
      <c r="M31" s="46" t="s">
        <v>31</v>
      </c>
      <c r="N31" s="46"/>
      <c r="O31" s="393" t="s">
        <v>575</v>
      </c>
      <c r="P31" s="406">
        <v>2</v>
      </c>
      <c r="Q31" s="46" t="s">
        <v>221</v>
      </c>
      <c r="R31" s="46">
        <f>P31*0.001</f>
        <v>2E-3</v>
      </c>
      <c r="S31" s="46"/>
      <c r="T31" s="46"/>
    </row>
    <row r="32" spans="1:21">
      <c r="A32" s="404" t="s">
        <v>866</v>
      </c>
      <c r="B32" s="46">
        <f>R32</f>
        <v>4.0000000000000001E-3</v>
      </c>
      <c r="C32" s="46" t="s">
        <v>37</v>
      </c>
      <c r="D32" s="46" t="s">
        <v>40</v>
      </c>
      <c r="E32" s="46" t="s">
        <v>29</v>
      </c>
      <c r="F32" s="32" t="s">
        <v>35</v>
      </c>
      <c r="G32" s="46" t="s">
        <v>33</v>
      </c>
      <c r="H32" s="46">
        <v>2</v>
      </c>
      <c r="I32" s="46">
        <f>LN(B32)</f>
        <v>-5.521460917862246</v>
      </c>
      <c r="J32" s="405">
        <v>7.2284161474004766E-2</v>
      </c>
      <c r="K32" s="46" t="s">
        <v>31</v>
      </c>
      <c r="L32" s="46" t="s">
        <v>31</v>
      </c>
      <c r="M32" s="46" t="s">
        <v>31</v>
      </c>
      <c r="N32" s="46"/>
      <c r="O32" s="393" t="s">
        <v>575</v>
      </c>
      <c r="P32" s="406">
        <v>4</v>
      </c>
      <c r="Q32" s="46" t="s">
        <v>221</v>
      </c>
      <c r="R32" s="46">
        <f>P32*0.001</f>
        <v>4.0000000000000001E-3</v>
      </c>
      <c r="S32" s="46"/>
      <c r="T32" s="46"/>
    </row>
    <row r="33" spans="1:21">
      <c r="A33" s="338" t="s">
        <v>792</v>
      </c>
      <c r="B33" s="46">
        <f>P33</f>
        <v>3.4</v>
      </c>
      <c r="C33" s="46" t="s">
        <v>37</v>
      </c>
      <c r="D33" s="46" t="s">
        <v>40</v>
      </c>
      <c r="E33" s="46" t="s">
        <v>29</v>
      </c>
      <c r="F33" s="32" t="s">
        <v>741</v>
      </c>
      <c r="G33" s="46" t="s">
        <v>33</v>
      </c>
      <c r="H33" s="46">
        <v>2</v>
      </c>
      <c r="I33" s="46">
        <f t="shared" si="3"/>
        <v>1.2237754316221157</v>
      </c>
      <c r="J33" s="46">
        <v>0.20928449536456342</v>
      </c>
      <c r="K33" s="46" t="s">
        <v>31</v>
      </c>
      <c r="L33" s="46" t="s">
        <v>31</v>
      </c>
      <c r="M33" s="46" t="s">
        <v>31</v>
      </c>
      <c r="N33" s="46"/>
      <c r="O33" s="46" t="s">
        <v>221</v>
      </c>
      <c r="P33" s="406">
        <v>3.4</v>
      </c>
      <c r="R33" s="46"/>
      <c r="S33" s="46"/>
      <c r="T33" s="46"/>
      <c r="U33" s="46"/>
    </row>
    <row r="34" spans="1:21">
      <c r="A34" s="32" t="s">
        <v>226</v>
      </c>
      <c r="B34" s="46">
        <f>3.4*0.0001</f>
        <v>3.4000000000000002E-4</v>
      </c>
      <c r="C34" s="46" t="s">
        <v>42</v>
      </c>
      <c r="D34" s="46" t="s">
        <v>40</v>
      </c>
      <c r="E34" s="46" t="s">
        <v>29</v>
      </c>
      <c r="F34" s="32" t="s">
        <v>741</v>
      </c>
      <c r="G34" s="46" t="s">
        <v>33</v>
      </c>
      <c r="H34" s="46">
        <v>2</v>
      </c>
      <c r="I34" s="46">
        <f t="shared" si="3"/>
        <v>-7.9865649403540671</v>
      </c>
      <c r="J34" s="46">
        <v>7.2284161474004766E-2</v>
      </c>
      <c r="K34" s="46" t="s">
        <v>31</v>
      </c>
      <c r="L34" s="46" t="s">
        <v>31</v>
      </c>
      <c r="M34" s="46" t="s">
        <v>31</v>
      </c>
      <c r="N34" s="46"/>
      <c r="O34" s="62"/>
      <c r="P34" s="413"/>
      <c r="Q34" s="427"/>
      <c r="R34" s="46"/>
      <c r="S34" s="46"/>
      <c r="T34" s="46"/>
      <c r="U34" s="46"/>
    </row>
    <row r="35" spans="1:21" s="41" customFormat="1">
      <c r="A35" s="362" t="s">
        <v>5</v>
      </c>
      <c r="B35" s="363" t="s">
        <v>890</v>
      </c>
      <c r="C35" s="345"/>
      <c r="D35" s="345"/>
      <c r="E35" s="345"/>
      <c r="F35" s="345"/>
      <c r="G35" s="345"/>
      <c r="H35" s="345"/>
      <c r="I35" s="345"/>
      <c r="J35" s="345"/>
      <c r="K35" s="345"/>
      <c r="L35" s="345"/>
      <c r="M35" s="345"/>
      <c r="N35" s="345"/>
      <c r="O35" s="345"/>
      <c r="P35" s="345"/>
      <c r="Q35" s="345"/>
      <c r="R35" s="345"/>
      <c r="S35" s="345"/>
      <c r="T35" s="345"/>
      <c r="U35" s="345"/>
    </row>
    <row r="36" spans="1:21">
      <c r="A36" s="338" t="s">
        <v>7</v>
      </c>
      <c r="B36" s="46" t="s">
        <v>779</v>
      </c>
      <c r="C36" s="337"/>
      <c r="D36" s="46"/>
      <c r="E36" s="46"/>
      <c r="F36" s="46"/>
      <c r="G36" s="46"/>
      <c r="H36" s="46"/>
      <c r="I36" s="46"/>
      <c r="J36" s="46"/>
      <c r="K36" s="46"/>
      <c r="L36" s="46"/>
      <c r="M36" s="46"/>
      <c r="N36" s="46"/>
      <c r="O36" s="46"/>
      <c r="P36" s="46"/>
      <c r="Q36" s="46"/>
      <c r="R36" s="46"/>
      <c r="S36" s="46"/>
      <c r="T36" s="46"/>
      <c r="U36" s="46"/>
    </row>
    <row r="37" spans="1:21">
      <c r="A37" s="416" t="s">
        <v>9</v>
      </c>
      <c r="B37" s="46" t="s">
        <v>891</v>
      </c>
      <c r="C37" s="337"/>
      <c r="D37" s="46"/>
      <c r="E37" s="46"/>
      <c r="F37" s="46"/>
      <c r="G37" s="46"/>
      <c r="H37" s="46"/>
      <c r="I37" s="46"/>
      <c r="J37" s="46"/>
      <c r="K37" s="46"/>
      <c r="L37" s="46"/>
      <c r="M37" s="46"/>
      <c r="N37" s="46"/>
      <c r="O37" s="46"/>
      <c r="P37" s="46"/>
      <c r="Q37" s="46"/>
      <c r="R37" s="46"/>
      <c r="S37" s="46"/>
      <c r="T37" s="46"/>
      <c r="U37" s="46"/>
    </row>
    <row r="38" spans="1:21" ht="15.75" customHeight="1">
      <c r="A38" s="338" t="s">
        <v>11</v>
      </c>
      <c r="B38" s="339" t="s">
        <v>789</v>
      </c>
      <c r="C38" s="46"/>
      <c r="D38" s="46"/>
      <c r="E38" s="46"/>
      <c r="F38" s="46"/>
      <c r="G38" s="46"/>
      <c r="H38" s="46"/>
      <c r="I38" s="46"/>
      <c r="J38" s="46"/>
      <c r="K38" s="46"/>
      <c r="L38" s="46"/>
      <c r="M38" s="46"/>
      <c r="N38" s="46"/>
      <c r="O38" s="46"/>
      <c r="P38" s="46"/>
      <c r="Q38" s="46"/>
      <c r="R38" s="46"/>
      <c r="S38" s="46"/>
      <c r="T38" s="46"/>
      <c r="U38" s="46"/>
    </row>
    <row r="39" spans="1:21">
      <c r="A39" s="338" t="s">
        <v>13</v>
      </c>
      <c r="B39" s="46" t="s">
        <v>14</v>
      </c>
      <c r="C39" s="46"/>
      <c r="D39" s="46"/>
      <c r="E39" s="46"/>
      <c r="F39" s="46"/>
      <c r="G39" s="46"/>
      <c r="H39" s="46"/>
      <c r="I39" s="46"/>
      <c r="J39" s="46"/>
      <c r="K39" s="46"/>
      <c r="L39" s="46"/>
      <c r="M39" s="46"/>
      <c r="N39" s="46"/>
      <c r="O39" s="46"/>
      <c r="P39" s="46"/>
      <c r="Q39" s="46"/>
      <c r="R39" s="46"/>
      <c r="S39" s="46"/>
      <c r="T39" s="46"/>
      <c r="U39" s="46"/>
    </row>
    <row r="40" spans="1:21">
      <c r="A40" s="338" t="s">
        <v>15</v>
      </c>
      <c r="B40" s="407">
        <f>B45</f>
        <v>0.04</v>
      </c>
      <c r="C40" s="46"/>
      <c r="D40" s="46"/>
      <c r="E40" s="46"/>
      <c r="F40" s="46"/>
      <c r="G40" s="46"/>
      <c r="H40" s="46"/>
      <c r="I40" s="46"/>
      <c r="J40" s="46"/>
      <c r="K40" s="46"/>
      <c r="L40" s="46"/>
      <c r="M40" s="46"/>
      <c r="N40" s="46"/>
      <c r="O40" s="46"/>
      <c r="P40" s="46"/>
      <c r="Q40" s="46"/>
      <c r="R40" s="46"/>
      <c r="S40" s="46"/>
      <c r="T40" s="46"/>
      <c r="U40" s="46"/>
    </row>
    <row r="41" spans="1:21">
      <c r="A41" s="338" t="s">
        <v>16</v>
      </c>
      <c r="B41" s="46" t="s">
        <v>17</v>
      </c>
      <c r="C41" s="46"/>
      <c r="D41" s="46"/>
      <c r="E41" s="46"/>
      <c r="F41" s="46"/>
      <c r="G41" s="46"/>
      <c r="H41" s="46"/>
      <c r="I41" s="46"/>
      <c r="J41" s="46"/>
      <c r="K41" s="46"/>
      <c r="L41" s="46"/>
      <c r="M41" s="46"/>
      <c r="N41" s="46"/>
      <c r="O41" s="46"/>
      <c r="P41" s="46"/>
      <c r="Q41" s="46"/>
      <c r="R41" s="46"/>
      <c r="S41" s="46"/>
      <c r="T41" s="46"/>
      <c r="U41" s="46"/>
    </row>
    <row r="42" spans="1:21">
      <c r="A42" s="338" t="s">
        <v>18</v>
      </c>
      <c r="B42" s="46" t="s">
        <v>113</v>
      </c>
      <c r="C42" s="46"/>
      <c r="D42" s="46"/>
      <c r="E42" s="46"/>
      <c r="F42" s="46"/>
      <c r="G42" s="46"/>
      <c r="H42" s="46"/>
      <c r="I42" s="46"/>
      <c r="J42" s="46"/>
      <c r="K42" s="46"/>
      <c r="L42" s="46"/>
      <c r="M42" s="46"/>
      <c r="N42" s="46"/>
      <c r="O42" s="46"/>
      <c r="P42" s="46"/>
      <c r="Q42" s="46"/>
      <c r="R42" s="46"/>
      <c r="S42" s="46"/>
      <c r="T42" s="46"/>
      <c r="U42" s="46"/>
    </row>
    <row r="43" spans="1:21">
      <c r="A43" s="335" t="s">
        <v>19</v>
      </c>
      <c r="B43" s="46"/>
      <c r="C43" s="46"/>
      <c r="D43" s="46"/>
      <c r="E43" s="46"/>
      <c r="F43" s="46"/>
      <c r="G43" s="46"/>
      <c r="H43" s="46"/>
      <c r="I43" s="46"/>
      <c r="J43" s="46"/>
      <c r="K43" s="46"/>
      <c r="L43" s="46"/>
      <c r="M43" s="46"/>
      <c r="N43" s="46"/>
      <c r="O43" s="46"/>
      <c r="P43" s="46"/>
      <c r="Q43" s="46"/>
      <c r="R43" s="46"/>
      <c r="S43" s="46"/>
      <c r="T43" s="46"/>
      <c r="U43" s="46"/>
    </row>
    <row r="44" spans="1:21">
      <c r="A44" s="336" t="s">
        <v>20</v>
      </c>
      <c r="B44" s="336" t="s">
        <v>21</v>
      </c>
      <c r="C44" s="336" t="s">
        <v>18</v>
      </c>
      <c r="D44" s="336" t="s">
        <v>22</v>
      </c>
      <c r="E44" s="336" t="s">
        <v>7</v>
      </c>
      <c r="F44" s="336" t="s">
        <v>13</v>
      </c>
      <c r="G44" s="336" t="s">
        <v>16</v>
      </c>
      <c r="H44" s="336" t="s">
        <v>23</v>
      </c>
      <c r="I44" s="336" t="s">
        <v>24</v>
      </c>
      <c r="J44" s="336" t="s">
        <v>25</v>
      </c>
      <c r="K44" s="336" t="s">
        <v>26</v>
      </c>
      <c r="L44" s="336" t="s">
        <v>27</v>
      </c>
      <c r="M44" s="336" t="s">
        <v>28</v>
      </c>
      <c r="N44" s="336" t="s">
        <v>11</v>
      </c>
      <c r="O44" s="46"/>
      <c r="P44" s="46"/>
      <c r="Q44" s="46"/>
      <c r="R44" s="46"/>
      <c r="S44" s="46"/>
      <c r="T44" s="407"/>
      <c r="U44" s="46"/>
    </row>
    <row r="45" spans="1:21">
      <c r="A45" s="46" t="s">
        <v>890</v>
      </c>
      <c r="B45" s="407">
        <f>B29</f>
        <v>0.04</v>
      </c>
      <c r="C45" s="46" t="s">
        <v>113</v>
      </c>
      <c r="D45" s="400" t="s">
        <v>2</v>
      </c>
      <c r="E45" s="46" t="s">
        <v>29</v>
      </c>
      <c r="F45" s="46" t="s">
        <v>14</v>
      </c>
      <c r="G45" s="46" t="s">
        <v>30</v>
      </c>
      <c r="H45" s="46">
        <v>1</v>
      </c>
      <c r="I45" s="407">
        <f>B45</f>
        <v>0.04</v>
      </c>
      <c r="J45" s="46" t="s">
        <v>31</v>
      </c>
      <c r="K45" s="46" t="s">
        <v>31</v>
      </c>
      <c r="L45" s="46" t="s">
        <v>31</v>
      </c>
      <c r="M45" s="46" t="s">
        <v>31</v>
      </c>
      <c r="N45" s="46"/>
      <c r="O45" s="46"/>
      <c r="P45" s="46"/>
      <c r="Q45" s="46"/>
      <c r="R45" s="46"/>
      <c r="S45" s="46"/>
      <c r="T45" s="46"/>
      <c r="U45" s="46"/>
    </row>
    <row r="46" spans="1:21">
      <c r="A46" s="32" t="s">
        <v>892</v>
      </c>
      <c r="B46" s="46">
        <v>0.5</v>
      </c>
      <c r="C46" s="46" t="s">
        <v>37</v>
      </c>
      <c r="D46" s="46" t="s">
        <v>40</v>
      </c>
      <c r="E46" s="46" t="s">
        <v>29</v>
      </c>
      <c r="F46" s="46" t="s">
        <v>128</v>
      </c>
      <c r="G46" s="46" t="s">
        <v>33</v>
      </c>
      <c r="H46" s="46">
        <v>1</v>
      </c>
      <c r="I46" s="407">
        <f t="shared" ref="I46:I47" si="4">B46</f>
        <v>0.5</v>
      </c>
      <c r="J46" s="46" t="s">
        <v>31</v>
      </c>
      <c r="K46" s="46" t="s">
        <v>31</v>
      </c>
      <c r="L46" s="46" t="s">
        <v>31</v>
      </c>
      <c r="M46" s="46" t="s">
        <v>31</v>
      </c>
      <c r="N46" s="46"/>
      <c r="O46" s="46"/>
      <c r="P46" s="46"/>
      <c r="Q46" s="46"/>
      <c r="R46" s="46"/>
      <c r="S46" s="46"/>
      <c r="T46" s="46"/>
      <c r="U46" s="46"/>
    </row>
    <row r="47" spans="1:21">
      <c r="A47" s="32" t="s">
        <v>893</v>
      </c>
      <c r="B47" s="46">
        <v>0.5</v>
      </c>
      <c r="C47" s="46" t="s">
        <v>37</v>
      </c>
      <c r="D47" s="46" t="s">
        <v>40</v>
      </c>
      <c r="E47" s="46" t="s">
        <v>29</v>
      </c>
      <c r="F47" s="46" t="s">
        <v>58</v>
      </c>
      <c r="G47" s="46" t="s">
        <v>33</v>
      </c>
      <c r="H47" s="46">
        <v>1</v>
      </c>
      <c r="I47" s="407">
        <f t="shared" si="4"/>
        <v>0.5</v>
      </c>
      <c r="J47" s="46" t="s">
        <v>31</v>
      </c>
      <c r="K47" s="46" t="s">
        <v>31</v>
      </c>
      <c r="L47" s="46" t="s">
        <v>31</v>
      </c>
      <c r="M47" s="46" t="s">
        <v>31</v>
      </c>
      <c r="N47" s="46"/>
      <c r="O47" s="46"/>
      <c r="P47" s="46"/>
      <c r="Q47" s="46"/>
      <c r="R47" s="46"/>
      <c r="S47" s="46"/>
      <c r="T47" s="46"/>
      <c r="U47" s="46"/>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6285E-FCB6-4253-BC97-74156AD64A30}">
  <sheetPr>
    <tabColor theme="9"/>
  </sheetPr>
  <dimension ref="A1:Y57"/>
  <sheetViews>
    <sheetView topLeftCell="A12" zoomScale="70" zoomScaleNormal="70"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46" t="s">
        <v>0</v>
      </c>
      <c r="B1" s="46">
        <v>14</v>
      </c>
      <c r="C1" s="46"/>
      <c r="D1" s="46"/>
      <c r="E1" s="46"/>
      <c r="F1" s="46"/>
      <c r="G1" s="46"/>
      <c r="H1" s="46"/>
      <c r="I1" s="46"/>
      <c r="J1" s="46"/>
      <c r="K1" s="46"/>
      <c r="L1" s="46"/>
      <c r="M1" s="46"/>
      <c r="N1" s="46"/>
      <c r="O1" s="46"/>
      <c r="P1" s="46"/>
      <c r="Q1" s="46"/>
      <c r="R1" s="62"/>
      <c r="S1" s="413"/>
    </row>
    <row r="2" spans="1:21" s="41" customFormat="1">
      <c r="A2" s="362" t="s">
        <v>5</v>
      </c>
      <c r="B2" s="363" t="s">
        <v>839</v>
      </c>
      <c r="C2" s="363"/>
      <c r="D2" s="345"/>
      <c r="E2" s="345"/>
      <c r="F2" s="345"/>
      <c r="G2" s="345"/>
      <c r="H2" s="345"/>
      <c r="I2" s="345"/>
      <c r="J2" s="345"/>
      <c r="K2" s="345"/>
      <c r="L2" s="345"/>
      <c r="M2" s="345"/>
      <c r="N2" s="345"/>
      <c r="O2" s="345"/>
      <c r="P2" s="345"/>
      <c r="Q2" s="345"/>
      <c r="R2" s="428"/>
      <c r="S2" s="429"/>
    </row>
    <row r="3" spans="1:21">
      <c r="A3" s="338" t="s">
        <v>7</v>
      </c>
      <c r="B3" s="46" t="s">
        <v>779</v>
      </c>
      <c r="C3" s="46"/>
      <c r="D3" s="337"/>
      <c r="E3" s="46"/>
      <c r="F3" s="46"/>
      <c r="G3" s="46"/>
      <c r="H3" s="46"/>
      <c r="I3" s="46"/>
      <c r="J3" s="46"/>
      <c r="K3" s="46"/>
      <c r="L3" s="46"/>
      <c r="M3" s="46"/>
      <c r="N3" s="46"/>
      <c r="O3" s="46"/>
      <c r="P3" s="46"/>
      <c r="Q3" s="46"/>
      <c r="R3" s="62"/>
      <c r="S3" s="413"/>
    </row>
    <row r="4" spans="1:21">
      <c r="A4" s="416" t="s">
        <v>9</v>
      </c>
      <c r="B4" s="46" t="s">
        <v>894</v>
      </c>
      <c r="C4" s="46"/>
      <c r="D4" s="337"/>
      <c r="E4" s="46"/>
      <c r="F4" s="46"/>
      <c r="G4" s="46"/>
      <c r="H4" s="46"/>
      <c r="I4" s="46"/>
      <c r="J4" s="46"/>
      <c r="K4" s="46"/>
      <c r="L4" s="46"/>
      <c r="M4" s="46"/>
      <c r="N4" s="46"/>
      <c r="O4" s="46"/>
      <c r="P4" s="46"/>
      <c r="Q4" s="46"/>
      <c r="R4" s="46"/>
      <c r="S4" s="46"/>
    </row>
    <row r="5" spans="1:21" ht="15.75" customHeight="1">
      <c r="A5" s="338" t="s">
        <v>11</v>
      </c>
      <c r="B5" s="339" t="s">
        <v>789</v>
      </c>
      <c r="C5" s="339"/>
      <c r="D5" s="46"/>
      <c r="E5" s="46"/>
      <c r="F5" s="46"/>
      <c r="G5" s="46"/>
      <c r="H5" s="46"/>
      <c r="I5" s="46"/>
      <c r="J5" s="46"/>
      <c r="K5" s="46"/>
      <c r="L5" s="46"/>
      <c r="M5" s="46"/>
      <c r="N5" s="46"/>
      <c r="O5" s="46"/>
      <c r="P5" s="46"/>
      <c r="Q5" s="46"/>
      <c r="R5" s="46"/>
      <c r="S5" s="46"/>
    </row>
    <row r="6" spans="1:21">
      <c r="A6" s="338" t="s">
        <v>13</v>
      </c>
      <c r="B6" s="46" t="s">
        <v>14</v>
      </c>
      <c r="C6" s="46"/>
      <c r="D6" s="46"/>
      <c r="E6" s="46"/>
      <c r="F6" s="46"/>
      <c r="G6" s="46"/>
      <c r="H6" s="46"/>
      <c r="I6" s="46"/>
      <c r="J6" s="46"/>
      <c r="K6" s="46"/>
      <c r="L6" s="46"/>
      <c r="M6" s="46"/>
      <c r="N6" s="46"/>
      <c r="O6" s="46"/>
      <c r="P6" s="46"/>
      <c r="Q6" s="46"/>
      <c r="R6" s="46"/>
      <c r="S6" s="46"/>
    </row>
    <row r="7" spans="1:21">
      <c r="A7" s="338" t="s">
        <v>15</v>
      </c>
      <c r="B7" s="350">
        <f>B48</f>
        <v>3.15</v>
      </c>
      <c r="C7" s="350"/>
      <c r="D7" s="46"/>
      <c r="E7" s="46"/>
      <c r="F7" s="46"/>
      <c r="G7" s="46"/>
      <c r="H7" s="46"/>
      <c r="I7" s="46"/>
      <c r="J7" s="46"/>
      <c r="K7" s="46"/>
      <c r="L7" s="46"/>
      <c r="M7" s="46"/>
      <c r="N7" s="46"/>
      <c r="O7" s="46"/>
      <c r="P7" s="46"/>
      <c r="Q7" s="46"/>
      <c r="R7" s="46"/>
      <c r="S7" s="46"/>
    </row>
    <row r="8" spans="1:21">
      <c r="A8" s="338" t="s">
        <v>16</v>
      </c>
      <c r="B8" s="46" t="s">
        <v>17</v>
      </c>
      <c r="C8" s="46"/>
      <c r="D8" s="46"/>
      <c r="E8" s="46"/>
      <c r="F8" s="46"/>
      <c r="G8" s="46"/>
      <c r="H8" s="46"/>
      <c r="I8" s="46"/>
      <c r="J8" s="46"/>
      <c r="K8" s="46"/>
      <c r="L8" s="46"/>
      <c r="M8" s="46"/>
      <c r="N8" s="46"/>
      <c r="O8" s="46"/>
      <c r="P8" s="46"/>
      <c r="Q8" s="46"/>
      <c r="R8" s="46"/>
      <c r="S8" s="46"/>
    </row>
    <row r="9" spans="1:21">
      <c r="A9" s="338" t="s">
        <v>18</v>
      </c>
      <c r="B9" s="46" t="s">
        <v>37</v>
      </c>
      <c r="C9" s="46"/>
      <c r="D9" s="46"/>
      <c r="E9" s="46"/>
      <c r="F9" s="46"/>
      <c r="G9" s="46"/>
      <c r="H9" s="46"/>
      <c r="I9" s="46"/>
      <c r="J9" s="46"/>
      <c r="K9" s="46"/>
      <c r="L9" s="46"/>
      <c r="M9" s="46"/>
      <c r="N9" s="46"/>
      <c r="O9" s="46"/>
      <c r="P9" s="46"/>
      <c r="Q9" s="46"/>
      <c r="R9" s="46"/>
      <c r="S9" s="46"/>
    </row>
    <row r="10" spans="1:21">
      <c r="A10" s="335" t="s">
        <v>19</v>
      </c>
      <c r="B10" s="46"/>
      <c r="C10" s="46"/>
      <c r="D10" s="46"/>
      <c r="E10" s="46"/>
      <c r="F10" s="46"/>
      <c r="G10" s="46"/>
      <c r="H10" s="46"/>
      <c r="I10" s="46"/>
      <c r="J10" s="46"/>
      <c r="K10" s="46"/>
      <c r="L10" s="46"/>
      <c r="M10" s="46"/>
      <c r="N10" s="46"/>
      <c r="O10" s="46"/>
      <c r="P10" s="46"/>
      <c r="Q10" s="46"/>
      <c r="R10" s="46"/>
      <c r="S10" s="46"/>
    </row>
    <row r="11" spans="1:21">
      <c r="A11" s="336" t="s">
        <v>20</v>
      </c>
      <c r="B11" s="336" t="s">
        <v>21</v>
      </c>
      <c r="C11" s="374" t="s">
        <v>198</v>
      </c>
      <c r="D11" s="336" t="s">
        <v>18</v>
      </c>
      <c r="E11" s="336" t="s">
        <v>22</v>
      </c>
      <c r="F11" s="336" t="s">
        <v>7</v>
      </c>
      <c r="G11" s="336" t="s">
        <v>13</v>
      </c>
      <c r="H11" s="336" t="s">
        <v>16</v>
      </c>
      <c r="I11" s="336" t="s">
        <v>23</v>
      </c>
      <c r="J11" s="336" t="s">
        <v>24</v>
      </c>
      <c r="K11" s="336" t="s">
        <v>25</v>
      </c>
      <c r="L11" s="336" t="s">
        <v>26</v>
      </c>
      <c r="M11" s="336" t="s">
        <v>27</v>
      </c>
      <c r="N11" s="336" t="s">
        <v>28</v>
      </c>
      <c r="O11" s="336" t="s">
        <v>11</v>
      </c>
      <c r="P11" s="46"/>
      <c r="Q11" s="46"/>
      <c r="R11" s="46"/>
      <c r="S11" s="46"/>
      <c r="U11" s="116"/>
    </row>
    <row r="12" spans="1:21">
      <c r="A12" s="46" t="s">
        <v>839</v>
      </c>
      <c r="B12" s="46">
        <f>B48</f>
        <v>3.15</v>
      </c>
      <c r="C12" s="46"/>
      <c r="D12" s="46" t="s">
        <v>37</v>
      </c>
      <c r="E12" s="400" t="s">
        <v>2</v>
      </c>
      <c r="F12" s="46" t="s">
        <v>29</v>
      </c>
      <c r="G12" s="46" t="s">
        <v>14</v>
      </c>
      <c r="H12" s="46" t="s">
        <v>30</v>
      </c>
      <c r="I12" s="46">
        <v>1</v>
      </c>
      <c r="J12" s="46">
        <f>B12</f>
        <v>3.15</v>
      </c>
      <c r="K12" s="46" t="s">
        <v>31</v>
      </c>
      <c r="L12" s="46" t="s">
        <v>31</v>
      </c>
      <c r="M12" s="46" t="s">
        <v>31</v>
      </c>
      <c r="N12" s="46" t="s">
        <v>31</v>
      </c>
      <c r="O12" s="46"/>
      <c r="P12" s="62"/>
      <c r="Q12" s="413"/>
      <c r="R12" s="46"/>
      <c r="S12" s="46"/>
    </row>
    <row r="13" spans="1:21">
      <c r="A13" s="46" t="s">
        <v>895</v>
      </c>
      <c r="B13" s="46">
        <v>1</v>
      </c>
      <c r="C13" s="46"/>
      <c r="D13" s="46" t="s">
        <v>18</v>
      </c>
      <c r="E13" s="400" t="s">
        <v>2</v>
      </c>
      <c r="F13" s="46" t="s">
        <v>29</v>
      </c>
      <c r="G13" s="46" t="s">
        <v>14</v>
      </c>
      <c r="H13" s="46" t="s">
        <v>33</v>
      </c>
      <c r="I13" s="46">
        <v>1</v>
      </c>
      <c r="J13" s="46">
        <v>1</v>
      </c>
      <c r="K13" s="46" t="s">
        <v>31</v>
      </c>
      <c r="L13" s="46" t="s">
        <v>31</v>
      </c>
      <c r="M13" s="46" t="s">
        <v>31</v>
      </c>
      <c r="N13" s="46" t="s">
        <v>31</v>
      </c>
      <c r="O13" s="46"/>
      <c r="P13" s="46"/>
      <c r="Q13" s="46"/>
      <c r="R13" s="46"/>
      <c r="S13" s="46"/>
    </row>
    <row r="14" spans="1:21">
      <c r="A14" s="338" t="s">
        <v>75</v>
      </c>
      <c r="B14" s="342">
        <f>Q14</f>
        <v>0.25</v>
      </c>
      <c r="C14" s="342"/>
      <c r="D14" s="46" t="s">
        <v>39</v>
      </c>
      <c r="E14" s="46" t="s">
        <v>40</v>
      </c>
      <c r="F14" s="46" t="s">
        <v>29</v>
      </c>
      <c r="G14" s="32" t="s">
        <v>35</v>
      </c>
      <c r="H14" s="46" t="s">
        <v>33</v>
      </c>
      <c r="I14" s="46">
        <v>2</v>
      </c>
      <c r="J14" s="46">
        <f t="shared" ref="J14:J18" si="0">LN(B14)</f>
        <v>-1.3862943611198906</v>
      </c>
      <c r="K14" s="405">
        <v>9.6046863561492793E-2</v>
      </c>
      <c r="L14" s="46" t="s">
        <v>31</v>
      </c>
      <c r="M14" s="46" t="s">
        <v>31</v>
      </c>
      <c r="N14" s="46" t="s">
        <v>31</v>
      </c>
      <c r="O14" s="46"/>
      <c r="P14" s="393" t="s">
        <v>216</v>
      </c>
      <c r="Q14" s="406">
        <v>0.25</v>
      </c>
      <c r="R14" s="46"/>
      <c r="S14" s="46"/>
    </row>
    <row r="15" spans="1:21">
      <c r="A15" s="338" t="s">
        <v>75</v>
      </c>
      <c r="B15" s="342">
        <f>Q15</f>
        <v>0.5</v>
      </c>
      <c r="C15" s="342"/>
      <c r="D15" s="46" t="s">
        <v>39</v>
      </c>
      <c r="E15" s="46" t="s">
        <v>40</v>
      </c>
      <c r="F15" s="46" t="s">
        <v>29</v>
      </c>
      <c r="G15" s="32" t="s">
        <v>35</v>
      </c>
      <c r="H15" s="46" t="s">
        <v>33</v>
      </c>
      <c r="I15" s="46">
        <v>2</v>
      </c>
      <c r="J15" s="46">
        <f t="shared" si="0"/>
        <v>-0.69314718055994529</v>
      </c>
      <c r="K15" s="405">
        <v>9.6046863561492793E-2</v>
      </c>
      <c r="L15" s="46" t="s">
        <v>31</v>
      </c>
      <c r="M15" s="46" t="s">
        <v>31</v>
      </c>
      <c r="N15" s="46" t="s">
        <v>31</v>
      </c>
      <c r="O15" s="46"/>
      <c r="P15" s="393" t="s">
        <v>216</v>
      </c>
      <c r="Q15" s="406">
        <v>0.5</v>
      </c>
      <c r="R15" s="46"/>
      <c r="S15" s="46"/>
    </row>
    <row r="16" spans="1:21">
      <c r="A16" s="32" t="s">
        <v>896</v>
      </c>
      <c r="B16" s="46">
        <f>S16</f>
        <v>6.5000000000000002E-2</v>
      </c>
      <c r="C16" s="46"/>
      <c r="D16" s="46" t="s">
        <v>37</v>
      </c>
      <c r="E16" s="46" t="s">
        <v>40</v>
      </c>
      <c r="F16" s="46" t="s">
        <v>29</v>
      </c>
      <c r="G16" s="46" t="s">
        <v>35</v>
      </c>
      <c r="H16" s="46" t="s">
        <v>33</v>
      </c>
      <c r="I16" s="46">
        <v>2</v>
      </c>
      <c r="J16" s="46">
        <f t="shared" si="0"/>
        <v>-2.7333680090865</v>
      </c>
      <c r="K16" s="405">
        <v>9.6046863561492793E-2</v>
      </c>
      <c r="L16" s="46"/>
      <c r="M16" s="46"/>
      <c r="N16" s="46"/>
      <c r="O16" s="46"/>
      <c r="P16" s="393" t="s">
        <v>575</v>
      </c>
      <c r="Q16" s="406">
        <v>65</v>
      </c>
      <c r="R16" s="393" t="s">
        <v>221</v>
      </c>
      <c r="S16" s="406">
        <f>0.001*Q16</f>
        <v>6.5000000000000002E-2</v>
      </c>
    </row>
    <row r="17" spans="1:21">
      <c r="A17" s="32" t="s">
        <v>897</v>
      </c>
      <c r="B17" s="46">
        <f>Q17</f>
        <v>1.2</v>
      </c>
      <c r="C17" s="46"/>
      <c r="D17" s="46" t="s">
        <v>37</v>
      </c>
      <c r="E17" s="46" t="s">
        <v>40</v>
      </c>
      <c r="F17" s="46" t="s">
        <v>29</v>
      </c>
      <c r="G17" s="32" t="s">
        <v>741</v>
      </c>
      <c r="H17" s="46" t="s">
        <v>33</v>
      </c>
      <c r="I17" s="46">
        <v>2</v>
      </c>
      <c r="J17" s="46">
        <f t="shared" si="0"/>
        <v>0.18232155679395459</v>
      </c>
      <c r="K17" s="405">
        <v>9.6046863561492793E-2</v>
      </c>
      <c r="L17" s="46"/>
      <c r="M17" s="46"/>
      <c r="N17" s="46"/>
      <c r="O17" s="46"/>
      <c r="P17" s="393" t="s">
        <v>221</v>
      </c>
      <c r="Q17" s="406">
        <v>1.2</v>
      </c>
      <c r="R17" s="46"/>
      <c r="S17" s="46"/>
    </row>
    <row r="18" spans="1:21">
      <c r="A18" s="32" t="s">
        <v>740</v>
      </c>
      <c r="B18" s="46">
        <f>S18</f>
        <v>6.5000000000000002E-2</v>
      </c>
      <c r="C18" s="46"/>
      <c r="D18" s="46" t="s">
        <v>37</v>
      </c>
      <c r="E18" s="46" t="s">
        <v>40</v>
      </c>
      <c r="F18" s="46" t="s">
        <v>29</v>
      </c>
      <c r="G18" s="32" t="s">
        <v>741</v>
      </c>
      <c r="H18" s="46" t="s">
        <v>33</v>
      </c>
      <c r="I18" s="46">
        <v>2</v>
      </c>
      <c r="J18" s="46">
        <f t="shared" si="0"/>
        <v>-2.7333680090865</v>
      </c>
      <c r="K18" s="405">
        <v>9.6046863561492793E-2</v>
      </c>
      <c r="L18" s="46"/>
      <c r="M18" s="46"/>
      <c r="N18" s="46"/>
      <c r="O18" s="46"/>
      <c r="P18" s="393" t="s">
        <v>575</v>
      </c>
      <c r="Q18" s="406">
        <v>65</v>
      </c>
      <c r="R18" s="393" t="s">
        <v>221</v>
      </c>
      <c r="S18" s="406">
        <f>0.001*Q18</f>
        <v>6.5000000000000002E-2</v>
      </c>
    </row>
    <row r="19" spans="1:21" s="41" customFormat="1">
      <c r="A19" s="362" t="s">
        <v>5</v>
      </c>
      <c r="B19" s="363" t="str">
        <f>A29</f>
        <v>production of machined casing, mass scaled activities, DCAC grid inverter, PEMFC-bat, Medium-Term</v>
      </c>
      <c r="C19" s="363"/>
      <c r="D19" s="345"/>
      <c r="E19" s="345"/>
      <c r="F19" s="345"/>
      <c r="G19" s="345"/>
      <c r="H19" s="345"/>
      <c r="I19" s="345"/>
      <c r="J19" s="345"/>
      <c r="K19" s="345"/>
      <c r="L19" s="345"/>
      <c r="M19" s="345"/>
      <c r="N19" s="345"/>
      <c r="O19" s="345"/>
      <c r="P19" s="345"/>
      <c r="Q19" s="345"/>
      <c r="R19" s="345"/>
      <c r="S19" s="345"/>
    </row>
    <row r="20" spans="1:21">
      <c r="A20" s="338" t="s">
        <v>7</v>
      </c>
      <c r="B20" s="46" t="s">
        <v>779</v>
      </c>
      <c r="C20" s="46"/>
      <c r="D20" s="337"/>
      <c r="E20" s="46"/>
      <c r="F20" s="46"/>
      <c r="G20" s="46"/>
      <c r="H20" s="46"/>
      <c r="I20" s="46"/>
      <c r="J20" s="46"/>
      <c r="K20" s="46"/>
      <c r="L20" s="46"/>
      <c r="M20" s="46"/>
      <c r="N20" s="46"/>
      <c r="O20" s="46"/>
      <c r="P20" s="46"/>
      <c r="Q20" s="46"/>
      <c r="R20" s="46"/>
      <c r="S20" s="46"/>
    </row>
    <row r="21" spans="1:21">
      <c r="A21" s="416" t="s">
        <v>9</v>
      </c>
      <c r="B21" s="46" t="s">
        <v>898</v>
      </c>
      <c r="C21" s="46"/>
      <c r="D21" s="337"/>
      <c r="E21" s="46"/>
      <c r="F21" s="46"/>
      <c r="G21" s="46"/>
      <c r="H21" s="46"/>
      <c r="I21" s="46"/>
      <c r="J21" s="46"/>
      <c r="K21" s="46"/>
      <c r="L21" s="46"/>
      <c r="M21" s="46"/>
      <c r="N21" s="46"/>
      <c r="O21" s="46"/>
      <c r="P21" s="46"/>
      <c r="Q21" s="46"/>
      <c r="R21" s="46"/>
      <c r="S21" s="46"/>
    </row>
    <row r="22" spans="1:21" ht="15.75" customHeight="1">
      <c r="A22" s="338" t="s">
        <v>11</v>
      </c>
      <c r="B22" s="339" t="s">
        <v>789</v>
      </c>
      <c r="C22" s="339"/>
      <c r="D22" s="46"/>
      <c r="E22" s="46"/>
      <c r="F22" s="46"/>
      <c r="G22" s="46"/>
      <c r="H22" s="46"/>
      <c r="I22" s="46"/>
      <c r="J22" s="46"/>
      <c r="K22" s="46"/>
      <c r="L22" s="46"/>
      <c r="M22" s="46"/>
      <c r="N22" s="46"/>
      <c r="O22" s="46"/>
      <c r="P22" s="46"/>
      <c r="Q22" s="46"/>
      <c r="R22" s="46"/>
      <c r="S22" s="46"/>
    </row>
    <row r="23" spans="1:21">
      <c r="A23" s="338" t="s">
        <v>13</v>
      </c>
      <c r="B23" s="46" t="s">
        <v>14</v>
      </c>
      <c r="C23" s="46"/>
      <c r="D23" s="46"/>
      <c r="E23" s="46"/>
      <c r="F23" s="46"/>
      <c r="G23" s="46"/>
      <c r="H23" s="46"/>
      <c r="I23" s="46"/>
      <c r="J23" s="46"/>
      <c r="K23" s="46"/>
      <c r="L23" s="46"/>
      <c r="M23" s="46"/>
      <c r="N23" s="46"/>
      <c r="O23" s="46"/>
      <c r="P23" s="46"/>
      <c r="Q23" s="46"/>
      <c r="R23" s="46"/>
      <c r="S23" s="46"/>
    </row>
    <row r="24" spans="1:21">
      <c r="A24" s="338" t="s">
        <v>15</v>
      </c>
      <c r="B24" s="350">
        <v>1</v>
      </c>
      <c r="C24" s="350"/>
      <c r="D24" s="46"/>
      <c r="E24" s="46"/>
      <c r="F24" s="46"/>
      <c r="G24" s="46"/>
      <c r="H24" s="46"/>
      <c r="I24" s="46"/>
      <c r="J24" s="46"/>
      <c r="K24" s="46"/>
      <c r="L24" s="46"/>
      <c r="M24" s="46"/>
      <c r="N24" s="46"/>
      <c r="O24" s="46"/>
      <c r="P24" s="46"/>
      <c r="Q24" s="46"/>
      <c r="R24" s="46"/>
      <c r="S24" s="46"/>
    </row>
    <row r="25" spans="1:21">
      <c r="A25" s="338" t="s">
        <v>16</v>
      </c>
      <c r="B25" s="46" t="s">
        <v>17</v>
      </c>
      <c r="C25" s="46"/>
      <c r="D25" s="46"/>
      <c r="E25" s="46"/>
      <c r="F25" s="46"/>
      <c r="G25" s="46"/>
      <c r="H25" s="46"/>
      <c r="I25" s="46"/>
      <c r="J25" s="46"/>
      <c r="K25" s="46"/>
      <c r="L25" s="46"/>
      <c r="M25" s="46"/>
      <c r="N25" s="46"/>
      <c r="O25" s="46"/>
      <c r="P25" s="46"/>
      <c r="Q25" s="46"/>
      <c r="R25" s="46"/>
      <c r="S25" s="46"/>
    </row>
    <row r="26" spans="1:21">
      <c r="A26" s="338" t="s">
        <v>18</v>
      </c>
      <c r="B26" s="46" t="s">
        <v>18</v>
      </c>
      <c r="C26" s="46"/>
      <c r="D26" s="46"/>
      <c r="E26" s="46"/>
      <c r="F26" s="46"/>
      <c r="G26" s="46"/>
      <c r="H26" s="46"/>
      <c r="I26" s="46"/>
      <c r="J26" s="46"/>
      <c r="K26" s="46"/>
      <c r="L26" s="46"/>
      <c r="M26" s="46"/>
      <c r="N26" s="46"/>
      <c r="O26" s="46"/>
      <c r="P26" s="46"/>
      <c r="Q26" s="46"/>
      <c r="R26" s="46"/>
      <c r="S26" s="46"/>
    </row>
    <row r="27" spans="1:21">
      <c r="A27" s="335" t="s">
        <v>19</v>
      </c>
      <c r="B27" s="46"/>
      <c r="C27" s="46"/>
      <c r="D27" s="46"/>
      <c r="E27" s="46"/>
      <c r="F27" s="46"/>
      <c r="G27" s="46"/>
      <c r="H27" s="46"/>
      <c r="I27" s="46"/>
      <c r="J27" s="46"/>
      <c r="K27" s="46"/>
      <c r="L27" s="46"/>
      <c r="M27" s="46"/>
      <c r="N27" s="46"/>
      <c r="O27" s="46"/>
      <c r="P27" s="46"/>
      <c r="Q27" s="46"/>
      <c r="R27" s="46"/>
      <c r="S27" s="46"/>
    </row>
    <row r="28" spans="1:21">
      <c r="A28" s="336" t="s">
        <v>20</v>
      </c>
      <c r="B28" s="336" t="s">
        <v>21</v>
      </c>
      <c r="C28" s="374" t="s">
        <v>198</v>
      </c>
      <c r="D28" s="336" t="s">
        <v>18</v>
      </c>
      <c r="E28" s="336" t="s">
        <v>22</v>
      </c>
      <c r="F28" s="336" t="s">
        <v>7</v>
      </c>
      <c r="G28" s="336" t="s">
        <v>13</v>
      </c>
      <c r="H28" s="336" t="s">
        <v>16</v>
      </c>
      <c r="I28" s="336" t="s">
        <v>23</v>
      </c>
      <c r="J28" s="336" t="s">
        <v>24</v>
      </c>
      <c r="K28" s="336" t="s">
        <v>25</v>
      </c>
      <c r="L28" s="336" t="s">
        <v>26</v>
      </c>
      <c r="M28" s="336" t="s">
        <v>27</v>
      </c>
      <c r="N28" s="336" t="s">
        <v>28</v>
      </c>
      <c r="O28" s="336" t="s">
        <v>11</v>
      </c>
      <c r="P28" s="46"/>
      <c r="Q28" s="46"/>
      <c r="R28" s="46"/>
      <c r="S28" s="46"/>
      <c r="U28" s="116"/>
    </row>
    <row r="29" spans="1:21">
      <c r="A29" s="46" t="s">
        <v>895</v>
      </c>
      <c r="B29" s="46">
        <v>1</v>
      </c>
      <c r="C29" s="46"/>
      <c r="D29" s="46" t="s">
        <v>18</v>
      </c>
      <c r="E29" s="400" t="s">
        <v>2</v>
      </c>
      <c r="F29" s="46" t="s">
        <v>29</v>
      </c>
      <c r="G29" s="46" t="s">
        <v>14</v>
      </c>
      <c r="H29" s="46" t="s">
        <v>30</v>
      </c>
      <c r="I29" s="46">
        <v>1</v>
      </c>
      <c r="J29" s="46">
        <f>B29</f>
        <v>1</v>
      </c>
      <c r="K29" s="46" t="s">
        <v>31</v>
      </c>
      <c r="L29" s="46" t="s">
        <v>31</v>
      </c>
      <c r="M29" s="46" t="s">
        <v>31</v>
      </c>
      <c r="N29" s="46" t="s">
        <v>31</v>
      </c>
      <c r="O29" s="46"/>
      <c r="P29" s="46"/>
      <c r="Q29" s="46"/>
      <c r="R29" s="46"/>
      <c r="S29" s="46"/>
    </row>
    <row r="30" spans="1:21">
      <c r="A30" s="46" t="s">
        <v>899</v>
      </c>
      <c r="B30" s="46">
        <v>1</v>
      </c>
      <c r="C30" s="46"/>
      <c r="D30" s="46" t="s">
        <v>37</v>
      </c>
      <c r="E30" s="400" t="s">
        <v>2</v>
      </c>
      <c r="F30" s="46" t="s">
        <v>29</v>
      </c>
      <c r="G30" s="46" t="s">
        <v>14</v>
      </c>
      <c r="H30" s="46" t="s">
        <v>33</v>
      </c>
      <c r="I30" s="46">
        <v>2</v>
      </c>
      <c r="J30" s="46">
        <f>LN(B30)</f>
        <v>0</v>
      </c>
      <c r="K30" s="46">
        <v>0.10307764064044142</v>
      </c>
      <c r="L30" s="46" t="s">
        <v>31</v>
      </c>
      <c r="M30" s="46" t="s">
        <v>31</v>
      </c>
      <c r="N30" s="46" t="s">
        <v>31</v>
      </c>
      <c r="O30" s="46"/>
      <c r="P30" s="46"/>
      <c r="Q30" s="46"/>
      <c r="R30" s="46"/>
      <c r="S30" s="46"/>
    </row>
    <row r="31" spans="1:21">
      <c r="A31" s="338" t="s">
        <v>75</v>
      </c>
      <c r="B31" s="342">
        <f>Q31</f>
        <v>0.18</v>
      </c>
      <c r="C31" s="342"/>
      <c r="D31" s="46" t="s">
        <v>39</v>
      </c>
      <c r="E31" s="46" t="s">
        <v>40</v>
      </c>
      <c r="F31" s="46" t="s">
        <v>29</v>
      </c>
      <c r="G31" s="32" t="s">
        <v>35</v>
      </c>
      <c r="H31" s="46" t="s">
        <v>33</v>
      </c>
      <c r="I31" s="46">
        <v>2</v>
      </c>
      <c r="J31" s="46">
        <f t="shared" ref="J31:J37" si="1">LN(B31)</f>
        <v>-1.7147984280919266</v>
      </c>
      <c r="K31" s="46">
        <v>9.6046863561492793E-2</v>
      </c>
      <c r="L31" s="46" t="s">
        <v>31</v>
      </c>
      <c r="M31" s="46" t="s">
        <v>31</v>
      </c>
      <c r="N31" s="46" t="s">
        <v>31</v>
      </c>
      <c r="O31" s="46"/>
      <c r="P31" s="393" t="s">
        <v>216</v>
      </c>
      <c r="Q31" s="406">
        <v>0.18</v>
      </c>
      <c r="R31" s="46"/>
      <c r="S31" s="46"/>
    </row>
    <row r="32" spans="1:21">
      <c r="A32" s="32" t="s">
        <v>896</v>
      </c>
      <c r="B32" s="46">
        <f>S32</f>
        <v>4.2000000000000003E-2</v>
      </c>
      <c r="C32" s="46"/>
      <c r="D32" s="46" t="s">
        <v>37</v>
      </c>
      <c r="E32" s="46" t="s">
        <v>40</v>
      </c>
      <c r="F32" s="46" t="s">
        <v>29</v>
      </c>
      <c r="G32" s="46" t="s">
        <v>35</v>
      </c>
      <c r="H32" s="46" t="s">
        <v>33</v>
      </c>
      <c r="I32" s="46">
        <v>2</v>
      </c>
      <c r="J32" s="46">
        <f t="shared" si="1"/>
        <v>-3.1700856606987688</v>
      </c>
      <c r="K32" s="46">
        <v>9.6046863561492793E-2</v>
      </c>
      <c r="L32" s="46" t="s">
        <v>31</v>
      </c>
      <c r="M32" s="46" t="s">
        <v>31</v>
      </c>
      <c r="N32" s="46" t="s">
        <v>31</v>
      </c>
      <c r="O32" s="46"/>
      <c r="P32" s="393" t="s">
        <v>575</v>
      </c>
      <c r="Q32" s="406">
        <v>42</v>
      </c>
      <c r="R32" s="393" t="s">
        <v>221</v>
      </c>
      <c r="S32" s="406">
        <f>0.001*Q32</f>
        <v>4.2000000000000003E-2</v>
      </c>
    </row>
    <row r="33" spans="1:21">
      <c r="A33" s="32" t="s">
        <v>897</v>
      </c>
      <c r="B33" s="46">
        <f>Q33</f>
        <v>0.78</v>
      </c>
      <c r="C33" s="46"/>
      <c r="D33" s="46" t="s">
        <v>37</v>
      </c>
      <c r="E33" s="46" t="s">
        <v>40</v>
      </c>
      <c r="F33" s="46" t="s">
        <v>29</v>
      </c>
      <c r="G33" s="32" t="s">
        <v>741</v>
      </c>
      <c r="H33" s="46" t="s">
        <v>33</v>
      </c>
      <c r="I33" s="46">
        <v>2</v>
      </c>
      <c r="J33" s="46">
        <f t="shared" si="1"/>
        <v>-0.24846135929849961</v>
      </c>
      <c r="K33" s="46">
        <v>9.6046863561492793E-2</v>
      </c>
      <c r="L33" s="46" t="s">
        <v>31</v>
      </c>
      <c r="M33" s="46" t="s">
        <v>31</v>
      </c>
      <c r="N33" s="46" t="s">
        <v>31</v>
      </c>
      <c r="O33" s="46"/>
      <c r="P33" s="393" t="s">
        <v>221</v>
      </c>
      <c r="Q33" s="406">
        <v>0.78</v>
      </c>
      <c r="R33" s="46"/>
      <c r="S33" s="46"/>
    </row>
    <row r="34" spans="1:21">
      <c r="A34" s="430" t="s">
        <v>247</v>
      </c>
      <c r="B34" s="46">
        <f>S35</f>
        <v>0.159</v>
      </c>
      <c r="C34" s="62" t="s">
        <v>248</v>
      </c>
      <c r="D34" s="46" t="s">
        <v>37</v>
      </c>
      <c r="E34" s="46" t="s">
        <v>40</v>
      </c>
      <c r="F34" s="46" t="s">
        <v>29</v>
      </c>
      <c r="G34" s="32" t="s">
        <v>35</v>
      </c>
      <c r="H34" s="46" t="s">
        <v>33</v>
      </c>
      <c r="I34" s="46">
        <v>2</v>
      </c>
      <c r="J34" s="46">
        <f t="shared" si="1"/>
        <v>-1.8388510767619055</v>
      </c>
      <c r="K34" s="46">
        <v>9.6046863561492793E-2</v>
      </c>
      <c r="L34" s="46" t="s">
        <v>31</v>
      </c>
      <c r="M34" s="46" t="s">
        <v>31</v>
      </c>
      <c r="N34" s="46" t="s">
        <v>31</v>
      </c>
      <c r="O34" s="46"/>
      <c r="P34" s="393"/>
      <c r="Q34" s="406"/>
      <c r="R34" s="46"/>
      <c r="S34" s="46"/>
    </row>
    <row r="35" spans="1:21">
      <c r="A35" s="62" t="s">
        <v>245</v>
      </c>
      <c r="B35" s="46">
        <f>S35</f>
        <v>0.159</v>
      </c>
      <c r="C35" s="46"/>
      <c r="D35" s="46" t="s">
        <v>37</v>
      </c>
      <c r="E35" s="46" t="s">
        <v>40</v>
      </c>
      <c r="F35" s="46" t="s">
        <v>29</v>
      </c>
      <c r="G35" s="46" t="s">
        <v>35</v>
      </c>
      <c r="H35" s="46" t="s">
        <v>33</v>
      </c>
      <c r="I35" s="46">
        <v>2</v>
      </c>
      <c r="J35" s="46">
        <f t="shared" si="1"/>
        <v>-1.8388510767619055</v>
      </c>
      <c r="K35" s="46">
        <v>9.6046863561492793E-2</v>
      </c>
      <c r="L35" s="46" t="s">
        <v>31</v>
      </c>
      <c r="M35" s="46" t="s">
        <v>31</v>
      </c>
      <c r="N35" s="46" t="s">
        <v>31</v>
      </c>
      <c r="O35" s="46"/>
      <c r="P35" s="410" t="s">
        <v>575</v>
      </c>
      <c r="Q35" s="411">
        <v>159</v>
      </c>
      <c r="R35" s="393" t="s">
        <v>221</v>
      </c>
      <c r="S35" s="406">
        <f>0.001*Q35</f>
        <v>0.159</v>
      </c>
    </row>
    <row r="36" spans="1:21">
      <c r="A36" s="32" t="s">
        <v>900</v>
      </c>
      <c r="B36" s="46">
        <f t="shared" ref="B36" si="2">S36</f>
        <v>0.159</v>
      </c>
      <c r="C36" s="46"/>
      <c r="D36" s="46" t="s">
        <v>37</v>
      </c>
      <c r="E36" s="46" t="s">
        <v>40</v>
      </c>
      <c r="F36" s="46" t="s">
        <v>29</v>
      </c>
      <c r="G36" s="46" t="s">
        <v>58</v>
      </c>
      <c r="H36" s="46" t="s">
        <v>243</v>
      </c>
      <c r="I36" s="46">
        <v>2</v>
      </c>
      <c r="J36" s="46">
        <f t="shared" si="1"/>
        <v>-1.8388510767619055</v>
      </c>
      <c r="K36" s="46">
        <v>9.6046863561492793E-2</v>
      </c>
      <c r="L36" s="46" t="s">
        <v>31</v>
      </c>
      <c r="M36" s="46" t="s">
        <v>31</v>
      </c>
      <c r="N36" s="46" t="s">
        <v>31</v>
      </c>
      <c r="O36" s="46"/>
      <c r="P36" s="410" t="s">
        <v>575</v>
      </c>
      <c r="Q36" s="411">
        <v>159</v>
      </c>
      <c r="R36" s="393" t="s">
        <v>221</v>
      </c>
      <c r="S36" s="406">
        <f t="shared" ref="S36:S37" si="3">0.001*Q36</f>
        <v>0.159</v>
      </c>
    </row>
    <row r="37" spans="1:21">
      <c r="A37" s="32" t="s">
        <v>740</v>
      </c>
      <c r="B37" s="46">
        <f>S37</f>
        <v>4.2000000000000003E-2</v>
      </c>
      <c r="C37" s="46"/>
      <c r="D37" s="46" t="s">
        <v>37</v>
      </c>
      <c r="E37" s="46" t="s">
        <v>40</v>
      </c>
      <c r="F37" s="46" t="s">
        <v>29</v>
      </c>
      <c r="G37" s="32" t="s">
        <v>741</v>
      </c>
      <c r="H37" s="46" t="s">
        <v>33</v>
      </c>
      <c r="I37" s="46">
        <v>2</v>
      </c>
      <c r="J37" s="46">
        <f t="shared" si="1"/>
        <v>-3.1700856606987688</v>
      </c>
      <c r="K37" s="46">
        <v>9.6046863561492793E-2</v>
      </c>
      <c r="L37" s="46" t="s">
        <v>31</v>
      </c>
      <c r="M37" s="46" t="s">
        <v>31</v>
      </c>
      <c r="N37" s="46" t="s">
        <v>31</v>
      </c>
      <c r="O37" s="46"/>
      <c r="P37" s="410" t="s">
        <v>575</v>
      </c>
      <c r="Q37" s="411">
        <v>42</v>
      </c>
      <c r="R37" s="393" t="s">
        <v>221</v>
      </c>
      <c r="S37" s="406">
        <f t="shared" si="3"/>
        <v>4.2000000000000003E-2</v>
      </c>
    </row>
    <row r="38" spans="1:21" s="41" customFormat="1">
      <c r="A38" s="362" t="s">
        <v>5</v>
      </c>
      <c r="B38" s="363" t="s">
        <v>899</v>
      </c>
      <c r="C38" s="363"/>
      <c r="D38" s="345"/>
      <c r="E38" s="345"/>
      <c r="F38" s="345"/>
      <c r="G38" s="345"/>
      <c r="H38" s="345"/>
      <c r="I38" s="345"/>
      <c r="J38" s="345"/>
      <c r="K38" s="345"/>
      <c r="L38" s="345"/>
      <c r="M38" s="345"/>
      <c r="N38" s="345"/>
      <c r="O38" s="345"/>
      <c r="P38" s="345"/>
      <c r="Q38" s="345"/>
      <c r="R38" s="345"/>
      <c r="S38" s="345"/>
    </row>
    <row r="39" spans="1:21">
      <c r="A39" s="338" t="s">
        <v>7</v>
      </c>
      <c r="B39" s="46" t="s">
        <v>779</v>
      </c>
      <c r="C39" s="46"/>
      <c r="D39" s="337"/>
      <c r="E39" s="46"/>
      <c r="F39" s="46"/>
      <c r="G39" s="46"/>
      <c r="H39" s="46"/>
      <c r="I39" s="46"/>
      <c r="J39" s="46"/>
      <c r="K39" s="46"/>
      <c r="L39" s="46"/>
      <c r="M39" s="46"/>
      <c r="N39" s="46"/>
      <c r="O39" s="46"/>
      <c r="P39" s="46"/>
      <c r="Q39" s="46"/>
      <c r="R39" s="46"/>
      <c r="S39" s="46"/>
    </row>
    <row r="40" spans="1:21">
      <c r="A40" s="416" t="s">
        <v>9</v>
      </c>
      <c r="B40" s="46" t="s">
        <v>901</v>
      </c>
      <c r="C40" s="46"/>
      <c r="D40" s="337"/>
      <c r="E40" s="46"/>
      <c r="F40" s="46"/>
      <c r="G40" s="46"/>
      <c r="H40" s="46"/>
      <c r="I40" s="46"/>
      <c r="J40" s="46"/>
      <c r="K40" s="46"/>
      <c r="L40" s="46"/>
      <c r="M40" s="46"/>
      <c r="N40" s="46"/>
      <c r="O40" s="46"/>
      <c r="P40" s="46"/>
      <c r="Q40" s="46"/>
      <c r="R40" s="46"/>
      <c r="S40" s="46"/>
    </row>
    <row r="41" spans="1:21" ht="15.75" customHeight="1">
      <c r="A41" s="338" t="s">
        <v>11</v>
      </c>
      <c r="B41" s="339" t="s">
        <v>789</v>
      </c>
      <c r="C41" s="339"/>
      <c r="D41" s="46"/>
      <c r="E41" s="46"/>
      <c r="F41" s="46"/>
      <c r="G41" s="46"/>
      <c r="H41" s="46"/>
      <c r="I41" s="46"/>
      <c r="J41" s="46"/>
      <c r="K41" s="46"/>
      <c r="L41" s="46"/>
      <c r="M41" s="46"/>
      <c r="N41" s="46"/>
      <c r="O41" s="46"/>
      <c r="P41" s="46"/>
      <c r="Q41" s="46"/>
      <c r="R41" s="46"/>
      <c r="S41" s="46"/>
    </row>
    <row r="42" spans="1:21">
      <c r="A42" s="338" t="s">
        <v>13</v>
      </c>
      <c r="B42" s="46" t="s">
        <v>14</v>
      </c>
      <c r="C42" s="46"/>
      <c r="D42" s="46"/>
      <c r="E42" s="46"/>
      <c r="F42" s="46"/>
      <c r="G42" s="46"/>
      <c r="H42" s="46"/>
      <c r="I42" s="46"/>
      <c r="J42" s="46"/>
      <c r="K42" s="46"/>
      <c r="L42" s="46"/>
      <c r="M42" s="46"/>
      <c r="N42" s="46"/>
      <c r="O42" s="46"/>
      <c r="P42" s="46"/>
      <c r="Q42" s="46"/>
      <c r="R42" s="46"/>
      <c r="S42" s="46"/>
    </row>
    <row r="43" spans="1:21">
      <c r="A43" s="338" t="s">
        <v>15</v>
      </c>
      <c r="B43" s="350">
        <v>3.15</v>
      </c>
      <c r="C43" s="350"/>
      <c r="D43" s="46"/>
      <c r="E43" s="46"/>
      <c r="F43" s="46"/>
      <c r="G43" s="46"/>
      <c r="H43" s="46"/>
      <c r="I43" s="46"/>
      <c r="J43" s="46"/>
      <c r="K43" s="46"/>
      <c r="L43" s="46"/>
      <c r="M43" s="46"/>
      <c r="N43" s="46"/>
      <c r="O43" s="46"/>
      <c r="P43" s="46"/>
      <c r="Q43" s="46"/>
      <c r="R43" s="46"/>
      <c r="S43" s="46"/>
    </row>
    <row r="44" spans="1:21">
      <c r="A44" s="338" t="s">
        <v>16</v>
      </c>
      <c r="B44" s="46" t="s">
        <v>17</v>
      </c>
      <c r="C44" s="46"/>
      <c r="D44" s="46"/>
      <c r="E44" s="46"/>
      <c r="F44" s="46"/>
      <c r="G44" s="46"/>
      <c r="H44" s="46"/>
      <c r="I44" s="46"/>
      <c r="J44" s="46"/>
      <c r="K44" s="46"/>
      <c r="L44" s="46"/>
      <c r="M44" s="46"/>
      <c r="N44" s="46"/>
      <c r="O44" s="46"/>
      <c r="P44" s="46"/>
      <c r="Q44" s="46"/>
      <c r="R44" s="46"/>
      <c r="S44" s="46"/>
    </row>
    <row r="45" spans="1:21">
      <c r="A45" s="338" t="s">
        <v>18</v>
      </c>
      <c r="B45" s="46" t="s">
        <v>37</v>
      </c>
      <c r="C45" s="46"/>
      <c r="D45" s="46"/>
      <c r="E45" s="46"/>
      <c r="F45" s="46"/>
      <c r="G45" s="46"/>
      <c r="H45" s="46"/>
      <c r="I45" s="46"/>
      <c r="J45" s="46"/>
      <c r="K45" s="46"/>
      <c r="L45" s="46"/>
      <c r="M45" s="46"/>
      <c r="N45" s="46"/>
      <c r="O45" s="46"/>
      <c r="P45" s="46"/>
      <c r="Q45" s="46"/>
      <c r="R45" s="46"/>
      <c r="S45" s="46"/>
    </row>
    <row r="46" spans="1:21">
      <c r="A46" s="335" t="s">
        <v>19</v>
      </c>
      <c r="B46" s="46"/>
      <c r="C46" s="46"/>
      <c r="D46" s="46"/>
      <c r="E46" s="46"/>
      <c r="F46" s="46"/>
      <c r="G46" s="46"/>
      <c r="H46" s="46"/>
      <c r="I46" s="46"/>
      <c r="J46" s="46"/>
      <c r="K46" s="46"/>
      <c r="L46" s="46"/>
      <c r="M46" s="46"/>
      <c r="N46" s="46"/>
      <c r="O46" s="46"/>
      <c r="P46" s="46"/>
      <c r="Q46" s="46"/>
      <c r="R46" s="46"/>
      <c r="S46" s="46"/>
    </row>
    <row r="47" spans="1:21">
      <c r="A47" s="336" t="s">
        <v>20</v>
      </c>
      <c r="B47" s="336" t="s">
        <v>21</v>
      </c>
      <c r="C47" s="374" t="s">
        <v>198</v>
      </c>
      <c r="D47" s="336" t="s">
        <v>18</v>
      </c>
      <c r="E47" s="336" t="s">
        <v>22</v>
      </c>
      <c r="F47" s="336" t="s">
        <v>7</v>
      </c>
      <c r="G47" s="336" t="s">
        <v>13</v>
      </c>
      <c r="H47" s="336" t="s">
        <v>16</v>
      </c>
      <c r="I47" s="336" t="s">
        <v>23</v>
      </c>
      <c r="J47" s="336" t="s">
        <v>24</v>
      </c>
      <c r="K47" s="336" t="s">
        <v>25</v>
      </c>
      <c r="L47" s="336" t="s">
        <v>26</v>
      </c>
      <c r="M47" s="336" t="s">
        <v>27</v>
      </c>
      <c r="N47" s="336" t="s">
        <v>28</v>
      </c>
      <c r="O47" s="336" t="s">
        <v>11</v>
      </c>
      <c r="P47" s="46"/>
      <c r="Q47" s="46"/>
      <c r="R47" s="46"/>
      <c r="S47" s="46"/>
      <c r="U47" s="116"/>
    </row>
    <row r="48" spans="1:21">
      <c r="A48" s="46" t="s">
        <v>899</v>
      </c>
      <c r="B48" s="46">
        <v>3.15</v>
      </c>
      <c r="C48" s="46"/>
      <c r="D48" s="46" t="s">
        <v>37</v>
      </c>
      <c r="E48" s="400" t="s">
        <v>2</v>
      </c>
      <c r="F48" s="46" t="s">
        <v>29</v>
      </c>
      <c r="G48" s="46" t="s">
        <v>14</v>
      </c>
      <c r="H48" s="46" t="s">
        <v>30</v>
      </c>
      <c r="I48" s="46">
        <v>2</v>
      </c>
      <c r="J48" s="46">
        <f>LN(B48)</f>
        <v>1.1474024528375417</v>
      </c>
      <c r="K48" s="46">
        <v>0.10307764064044142</v>
      </c>
      <c r="L48" s="46" t="s">
        <v>31</v>
      </c>
      <c r="M48" s="46" t="s">
        <v>31</v>
      </c>
      <c r="N48" s="46" t="s">
        <v>31</v>
      </c>
      <c r="O48" s="46"/>
      <c r="P48" s="46"/>
      <c r="Q48" s="46"/>
      <c r="R48" s="46"/>
      <c r="S48" s="46"/>
    </row>
    <row r="49" spans="1:25">
      <c r="A49" s="32" t="s">
        <v>900</v>
      </c>
      <c r="B49" s="46">
        <f>Q49</f>
        <v>3.34</v>
      </c>
      <c r="C49" s="46"/>
      <c r="D49" s="46" t="s">
        <v>37</v>
      </c>
      <c r="E49" s="46" t="s">
        <v>40</v>
      </c>
      <c r="F49" s="46" t="s">
        <v>29</v>
      </c>
      <c r="G49" s="46" t="s">
        <v>58</v>
      </c>
      <c r="H49" s="46" t="s">
        <v>33</v>
      </c>
      <c r="I49" s="46">
        <v>2</v>
      </c>
      <c r="J49" s="46">
        <f t="shared" ref="J49:J57" si="4">LN(B49)</f>
        <v>1.205970806988609</v>
      </c>
      <c r="K49" s="46">
        <v>4.9999999999998969E-3</v>
      </c>
      <c r="L49" s="46" t="s">
        <v>31</v>
      </c>
      <c r="M49" s="46" t="s">
        <v>31</v>
      </c>
      <c r="N49" s="46" t="s">
        <v>31</v>
      </c>
      <c r="O49" s="46"/>
      <c r="P49" s="393" t="s">
        <v>221</v>
      </c>
      <c r="Q49" s="406">
        <v>3.34</v>
      </c>
      <c r="R49" s="46"/>
      <c r="S49" s="46"/>
    </row>
    <row r="50" spans="1:25">
      <c r="A50" s="26" t="s">
        <v>77</v>
      </c>
      <c r="B50" s="46">
        <f>S50</f>
        <v>0.88772845953002621</v>
      </c>
      <c r="C50" s="46"/>
      <c r="D50" s="46" t="s">
        <v>42</v>
      </c>
      <c r="E50" s="46" t="s">
        <v>40</v>
      </c>
      <c r="F50" s="46" t="s">
        <v>29</v>
      </c>
      <c r="G50" s="46" t="s">
        <v>217</v>
      </c>
      <c r="H50" s="46" t="s">
        <v>33</v>
      </c>
      <c r="I50" s="46">
        <v>2</v>
      </c>
      <c r="J50" s="46">
        <f t="shared" si="4"/>
        <v>-0.11908937157043879</v>
      </c>
      <c r="K50" s="46">
        <v>4.9999999999998969E-3</v>
      </c>
      <c r="L50" s="46" t="s">
        <v>31</v>
      </c>
      <c r="M50" s="46" t="s">
        <v>31</v>
      </c>
      <c r="N50" s="46" t="s">
        <v>31</v>
      </c>
      <c r="O50" s="46"/>
      <c r="P50" s="393" t="s">
        <v>218</v>
      </c>
      <c r="Q50" s="406">
        <v>34</v>
      </c>
      <c r="R50" s="46" t="s">
        <v>219</v>
      </c>
      <c r="S50" s="46">
        <f>Q50/38.3</f>
        <v>0.88772845953002621</v>
      </c>
      <c r="T50" s="173"/>
      <c r="U50" s="174"/>
      <c r="V50" s="174"/>
      <c r="W50" s="174"/>
      <c r="X50" s="174"/>
      <c r="Y50" s="174"/>
    </row>
    <row r="51" spans="1:25">
      <c r="A51" s="338" t="s">
        <v>75</v>
      </c>
      <c r="B51" s="342">
        <f>Q51</f>
        <v>8.19</v>
      </c>
      <c r="C51" s="342"/>
      <c r="D51" s="46" t="s">
        <v>39</v>
      </c>
      <c r="E51" s="46" t="s">
        <v>40</v>
      </c>
      <c r="F51" s="46" t="s">
        <v>29</v>
      </c>
      <c r="G51" s="32" t="s">
        <v>58</v>
      </c>
      <c r="H51" s="46" t="s">
        <v>33</v>
      </c>
      <c r="I51" s="46">
        <v>2</v>
      </c>
      <c r="J51" s="46">
        <f t="shared" si="4"/>
        <v>2.102913897864978</v>
      </c>
      <c r="K51" s="46">
        <v>4.9999999999998969E-3</v>
      </c>
      <c r="L51" s="46" t="s">
        <v>31</v>
      </c>
      <c r="M51" s="46" t="s">
        <v>31</v>
      </c>
      <c r="N51" s="46" t="s">
        <v>31</v>
      </c>
      <c r="O51" s="46"/>
      <c r="P51" s="393" t="s">
        <v>216</v>
      </c>
      <c r="Q51" s="406">
        <v>8.19</v>
      </c>
      <c r="R51" s="46"/>
      <c r="S51" s="46"/>
    </row>
    <row r="52" spans="1:25">
      <c r="A52" s="32" t="s">
        <v>902</v>
      </c>
      <c r="B52" s="46">
        <f>S52</f>
        <v>6.3E-2</v>
      </c>
      <c r="C52" s="46"/>
      <c r="D52" s="46" t="s">
        <v>37</v>
      </c>
      <c r="E52" s="46" t="s">
        <v>40</v>
      </c>
      <c r="F52" s="46" t="s">
        <v>29</v>
      </c>
      <c r="G52" s="46" t="s">
        <v>35</v>
      </c>
      <c r="H52" s="46" t="s">
        <v>33</v>
      </c>
      <c r="I52" s="46">
        <v>2</v>
      </c>
      <c r="J52" s="46">
        <f t="shared" si="4"/>
        <v>-2.7646205525906042</v>
      </c>
      <c r="K52" s="46">
        <v>0.10049875621120885</v>
      </c>
      <c r="L52" s="46" t="s">
        <v>31</v>
      </c>
      <c r="M52" s="46" t="s">
        <v>31</v>
      </c>
      <c r="N52" s="46" t="s">
        <v>31</v>
      </c>
      <c r="O52" s="46"/>
      <c r="P52" s="393" t="s">
        <v>575</v>
      </c>
      <c r="Q52" s="406">
        <v>63</v>
      </c>
      <c r="R52" s="393" t="s">
        <v>221</v>
      </c>
      <c r="S52" s="406">
        <f t="shared" ref="S52:S55" si="5">0.001*Q52</f>
        <v>6.3E-2</v>
      </c>
    </row>
    <row r="53" spans="1:25">
      <c r="A53" s="32" t="s">
        <v>903</v>
      </c>
      <c r="B53" s="46">
        <f>S53</f>
        <v>1.3000000000000002E-3</v>
      </c>
      <c r="C53" s="46"/>
      <c r="D53" s="46" t="s">
        <v>37</v>
      </c>
      <c r="E53" s="46" t="s">
        <v>43</v>
      </c>
      <c r="F53" s="46" t="s">
        <v>44</v>
      </c>
      <c r="G53" s="46" t="s">
        <v>29</v>
      </c>
      <c r="H53" s="46" t="s">
        <v>45</v>
      </c>
      <c r="I53" s="46">
        <v>2</v>
      </c>
      <c r="J53" s="46">
        <f t="shared" si="4"/>
        <v>-6.6453910145146455</v>
      </c>
      <c r="K53" s="46">
        <v>4.9999999999998969E-3</v>
      </c>
      <c r="L53" s="46" t="s">
        <v>31</v>
      </c>
      <c r="M53" s="46" t="s">
        <v>31</v>
      </c>
      <c r="N53" s="46" t="s">
        <v>31</v>
      </c>
      <c r="O53" s="46"/>
      <c r="P53" s="408" t="s">
        <v>575</v>
      </c>
      <c r="Q53" s="431">
        <v>1.3</v>
      </c>
      <c r="R53" s="393" t="s">
        <v>221</v>
      </c>
      <c r="S53" s="406">
        <f t="shared" si="5"/>
        <v>1.3000000000000002E-3</v>
      </c>
    </row>
    <row r="54" spans="1:25">
      <c r="A54" s="338" t="s">
        <v>760</v>
      </c>
      <c r="B54" s="46">
        <f>S54</f>
        <v>1.3000000000000002E-3</v>
      </c>
      <c r="C54" s="46"/>
      <c r="D54" s="46" t="s">
        <v>37</v>
      </c>
      <c r="E54" s="46" t="s">
        <v>43</v>
      </c>
      <c r="F54" s="46" t="s">
        <v>44</v>
      </c>
      <c r="G54" s="32" t="s">
        <v>29</v>
      </c>
      <c r="H54" s="46" t="s">
        <v>45</v>
      </c>
      <c r="I54" s="46">
        <v>2</v>
      </c>
      <c r="J54" s="46">
        <f t="shared" si="4"/>
        <v>-6.6453910145146455</v>
      </c>
      <c r="K54" s="46">
        <v>8.9582364335844641E-2</v>
      </c>
      <c r="L54" s="46" t="s">
        <v>31</v>
      </c>
      <c r="M54" s="46" t="s">
        <v>31</v>
      </c>
      <c r="N54" s="46" t="s">
        <v>31</v>
      </c>
      <c r="O54" s="46"/>
      <c r="P54" s="408" t="s">
        <v>575</v>
      </c>
      <c r="Q54" s="431">
        <v>1.3</v>
      </c>
      <c r="R54" s="393" t="s">
        <v>221</v>
      </c>
      <c r="S54" s="406">
        <f t="shared" si="5"/>
        <v>1.3000000000000002E-3</v>
      </c>
    </row>
    <row r="55" spans="1:25">
      <c r="A55" s="430" t="s">
        <v>247</v>
      </c>
      <c r="B55" s="46">
        <f>S55</f>
        <v>3.2000000000000002E-3</v>
      </c>
      <c r="C55" s="62" t="s">
        <v>248</v>
      </c>
      <c r="D55" s="46" t="s">
        <v>37</v>
      </c>
      <c r="E55" s="46" t="s">
        <v>40</v>
      </c>
      <c r="F55" s="46" t="s">
        <v>29</v>
      </c>
      <c r="G55" s="32" t="s">
        <v>35</v>
      </c>
      <c r="H55" s="46" t="s">
        <v>33</v>
      </c>
      <c r="I55" s="46">
        <v>2</v>
      </c>
      <c r="J55" s="46">
        <f t="shared" si="4"/>
        <v>-5.7446044691764557</v>
      </c>
      <c r="K55" s="46">
        <v>9.6046863561492793E-2</v>
      </c>
      <c r="L55" s="46" t="s">
        <v>31</v>
      </c>
      <c r="M55" s="46" t="s">
        <v>31</v>
      </c>
      <c r="N55" s="46" t="s">
        <v>31</v>
      </c>
      <c r="O55" s="46"/>
      <c r="P55" s="408" t="s">
        <v>575</v>
      </c>
      <c r="Q55" s="431">
        <v>3.2</v>
      </c>
      <c r="R55" s="393" t="s">
        <v>221</v>
      </c>
      <c r="S55" s="406">
        <f t="shared" si="5"/>
        <v>3.2000000000000002E-3</v>
      </c>
    </row>
    <row r="56" spans="1:25">
      <c r="A56" s="62" t="s">
        <v>245</v>
      </c>
      <c r="B56" s="46">
        <f>S55</f>
        <v>3.2000000000000002E-3</v>
      </c>
      <c r="C56" s="46"/>
      <c r="D56" s="46" t="s">
        <v>37</v>
      </c>
      <c r="E56" s="46" t="s">
        <v>40</v>
      </c>
      <c r="F56" s="46" t="s">
        <v>29</v>
      </c>
      <c r="G56" s="46" t="s">
        <v>35</v>
      </c>
      <c r="H56" s="46" t="s">
        <v>33</v>
      </c>
      <c r="I56" s="46">
        <v>2</v>
      </c>
      <c r="J56" s="46">
        <f t="shared" si="4"/>
        <v>-5.7446044691764557</v>
      </c>
      <c r="K56" s="46">
        <v>4.9999999999998969E-3</v>
      </c>
      <c r="L56" s="46" t="s">
        <v>31</v>
      </c>
      <c r="M56" s="46" t="s">
        <v>31</v>
      </c>
      <c r="N56" s="46" t="s">
        <v>31</v>
      </c>
      <c r="O56" s="46"/>
      <c r="P56" s="410" t="s">
        <v>221</v>
      </c>
      <c r="Q56" s="431">
        <v>0.19</v>
      </c>
      <c r="R56" s="46"/>
      <c r="S56" s="46"/>
    </row>
    <row r="57" spans="1:25">
      <c r="A57" s="32" t="s">
        <v>900</v>
      </c>
      <c r="B57" s="46">
        <f>Q56</f>
        <v>0.19</v>
      </c>
      <c r="C57" s="46"/>
      <c r="D57" s="46" t="s">
        <v>37</v>
      </c>
      <c r="E57" s="46" t="s">
        <v>40</v>
      </c>
      <c r="F57" s="46" t="s">
        <v>29</v>
      </c>
      <c r="G57" s="46" t="s">
        <v>58</v>
      </c>
      <c r="H57" s="46" t="s">
        <v>243</v>
      </c>
      <c r="I57" s="46">
        <v>2</v>
      </c>
      <c r="J57" s="46">
        <f t="shared" si="4"/>
        <v>-1.6607312068216509</v>
      </c>
      <c r="K57" s="46">
        <v>4.9999999999998969E-3</v>
      </c>
      <c r="L57" s="46" t="s">
        <v>31</v>
      </c>
      <c r="M57" s="46" t="s">
        <v>31</v>
      </c>
      <c r="N57" s="46" t="s">
        <v>31</v>
      </c>
      <c r="O57" s="46"/>
      <c r="P57" s="46"/>
      <c r="Q57" s="46"/>
      <c r="R57" s="46"/>
      <c r="S57" s="46"/>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825F-395D-45E5-9950-32BF354AF9B8}">
  <sheetPr>
    <tabColor theme="9"/>
  </sheetPr>
  <dimension ref="A1:U362"/>
  <sheetViews>
    <sheetView topLeftCell="A21" zoomScale="70" zoomScaleNormal="70" workbookViewId="0">
      <selection activeCell="G20" sqref="G20"/>
    </sheetView>
  </sheetViews>
  <sheetFormatPr defaultRowHeight="15"/>
  <cols>
    <col min="1" max="1" width="65.5703125" customWidth="1"/>
    <col min="2" max="2" width="15.28515625" customWidth="1"/>
    <col min="3" max="3" width="14.28515625" customWidth="1"/>
    <col min="4" max="4" width="35.7109375" customWidth="1"/>
    <col min="7" max="7" width="15.5703125"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62" t="s">
        <v>5</v>
      </c>
      <c r="B2" s="363" t="s">
        <v>830</v>
      </c>
      <c r="C2" s="364"/>
      <c r="D2" s="345"/>
      <c r="E2" s="345"/>
      <c r="F2" s="345"/>
      <c r="G2" s="345"/>
      <c r="H2" s="345"/>
      <c r="I2" s="345"/>
      <c r="J2" s="345"/>
      <c r="K2" s="345"/>
      <c r="L2" s="345"/>
      <c r="M2" s="345"/>
      <c r="N2" s="46"/>
      <c r="O2" s="46"/>
      <c r="P2" s="46"/>
      <c r="Q2" s="46"/>
      <c r="R2" s="46"/>
      <c r="S2" s="46"/>
      <c r="T2" s="46"/>
      <c r="U2" s="46"/>
    </row>
    <row r="3" spans="1:21">
      <c r="A3" s="338" t="s">
        <v>7</v>
      </c>
      <c r="B3" s="46" t="s">
        <v>779</v>
      </c>
      <c r="C3" s="337"/>
      <c r="D3" s="46"/>
      <c r="E3" s="46"/>
      <c r="F3" s="46"/>
      <c r="G3" s="46"/>
      <c r="H3" s="46"/>
      <c r="I3" s="46"/>
      <c r="J3" s="46"/>
      <c r="K3" s="46"/>
      <c r="L3" s="46"/>
      <c r="M3" s="46"/>
      <c r="N3" s="46"/>
      <c r="O3" s="46"/>
      <c r="P3" s="46"/>
      <c r="Q3" s="46"/>
      <c r="R3" s="46"/>
      <c r="S3" s="46"/>
      <c r="T3" s="46"/>
      <c r="U3" s="46"/>
    </row>
    <row r="4" spans="1:21">
      <c r="A4" s="338" t="s">
        <v>9</v>
      </c>
      <c r="B4" s="46" t="s">
        <v>904</v>
      </c>
      <c r="C4" s="337"/>
      <c r="D4" s="46"/>
      <c r="E4" s="46"/>
      <c r="F4" s="46"/>
      <c r="G4" s="46"/>
      <c r="H4" s="46"/>
      <c r="I4" s="46"/>
      <c r="J4" s="46"/>
      <c r="K4" s="46"/>
      <c r="L4" s="46"/>
      <c r="M4" s="46"/>
      <c r="N4" s="46"/>
      <c r="O4" s="46"/>
      <c r="P4" s="46"/>
      <c r="Q4" s="46"/>
      <c r="R4" s="46"/>
      <c r="S4" s="46"/>
      <c r="T4" s="46"/>
      <c r="U4" s="46"/>
    </row>
    <row r="5" spans="1:21" ht="16.5" customHeight="1">
      <c r="A5" s="338" t="s">
        <v>11</v>
      </c>
      <c r="B5" s="339" t="s">
        <v>789</v>
      </c>
      <c r="C5" s="46"/>
      <c r="D5" s="46"/>
      <c r="E5" s="46"/>
      <c r="F5" s="46"/>
      <c r="G5" s="46"/>
      <c r="H5" s="46"/>
      <c r="I5" s="46"/>
      <c r="J5" s="46"/>
      <c r="K5" s="46"/>
      <c r="L5" s="46"/>
      <c r="M5" s="46"/>
      <c r="N5" s="46"/>
      <c r="O5" s="46"/>
      <c r="P5" s="46"/>
      <c r="Q5" s="46"/>
      <c r="R5" s="46"/>
      <c r="S5" s="46"/>
      <c r="T5" s="46"/>
      <c r="U5" s="46"/>
    </row>
    <row r="6" spans="1:21">
      <c r="A6" s="338" t="s">
        <v>13</v>
      </c>
      <c r="B6" s="46" t="s">
        <v>14</v>
      </c>
      <c r="C6" s="46"/>
      <c r="D6" s="46"/>
      <c r="E6" s="46"/>
      <c r="F6" s="46"/>
      <c r="G6" s="46"/>
      <c r="H6" s="46"/>
      <c r="I6" s="46"/>
      <c r="J6" s="46"/>
      <c r="K6" s="46"/>
      <c r="L6" s="46"/>
      <c r="M6" s="46"/>
      <c r="N6" s="46"/>
      <c r="O6" s="46"/>
      <c r="P6" s="46"/>
      <c r="Q6" s="46"/>
      <c r="R6" s="46"/>
      <c r="S6" s="46"/>
      <c r="T6" s="46"/>
      <c r="U6" s="46"/>
    </row>
    <row r="7" spans="1:21">
      <c r="A7" s="338" t="s">
        <v>15</v>
      </c>
      <c r="B7" s="46">
        <v>0.31379100000000004</v>
      </c>
      <c r="C7" s="46"/>
      <c r="D7" s="46"/>
      <c r="E7" s="46"/>
      <c r="F7" s="46"/>
      <c r="G7" s="46"/>
      <c r="H7" s="46"/>
      <c r="I7" s="46"/>
      <c r="J7" s="46"/>
      <c r="K7" s="46"/>
      <c r="L7" s="46"/>
      <c r="M7" s="46"/>
      <c r="N7" s="46"/>
      <c r="O7" s="46"/>
      <c r="P7" s="46"/>
      <c r="Q7" s="46"/>
      <c r="R7" s="46"/>
      <c r="S7" s="46"/>
      <c r="T7" s="46"/>
      <c r="U7" s="46"/>
    </row>
    <row r="8" spans="1:21">
      <c r="A8" s="338" t="s">
        <v>16</v>
      </c>
      <c r="B8" s="46" t="s">
        <v>17</v>
      </c>
      <c r="C8" s="46"/>
      <c r="D8" s="46"/>
      <c r="E8" s="46"/>
      <c r="F8" s="46"/>
      <c r="G8" s="46"/>
      <c r="H8" s="46"/>
      <c r="I8" s="46"/>
      <c r="J8" s="46"/>
      <c r="K8" s="46"/>
      <c r="L8" s="46"/>
      <c r="M8" s="46"/>
      <c r="N8" s="46"/>
      <c r="O8" s="46"/>
      <c r="P8" s="46"/>
      <c r="Q8" s="46"/>
      <c r="R8" s="46"/>
      <c r="S8" s="46"/>
      <c r="T8" s="46"/>
      <c r="U8" s="46"/>
    </row>
    <row r="9" spans="1:21">
      <c r="A9" s="338" t="s">
        <v>18</v>
      </c>
      <c r="B9" s="46" t="s">
        <v>37</v>
      </c>
      <c r="C9" s="46"/>
      <c r="D9" s="46"/>
      <c r="E9" s="46"/>
      <c r="F9" s="46"/>
      <c r="G9" s="46"/>
      <c r="H9" s="46"/>
      <c r="I9" s="46"/>
      <c r="J9" s="46"/>
      <c r="K9" s="46"/>
      <c r="L9" s="46"/>
      <c r="M9" s="46"/>
      <c r="N9" s="46"/>
      <c r="O9" s="46"/>
      <c r="P9" s="46"/>
      <c r="Q9" s="46"/>
      <c r="R9" s="46"/>
      <c r="S9" s="46"/>
      <c r="T9" s="46"/>
      <c r="U9" s="46"/>
    </row>
    <row r="10" spans="1:21">
      <c r="A10" s="335" t="s">
        <v>19</v>
      </c>
      <c r="B10" s="46"/>
      <c r="C10" s="46"/>
      <c r="D10" s="46"/>
      <c r="E10" s="46"/>
      <c r="F10" s="46"/>
      <c r="G10" s="46"/>
      <c r="H10" s="46"/>
      <c r="I10" s="46"/>
      <c r="J10" s="46"/>
      <c r="K10" s="46"/>
      <c r="L10" s="46"/>
      <c r="M10" s="46"/>
      <c r="N10" s="46"/>
      <c r="O10" s="46"/>
      <c r="P10" s="46"/>
      <c r="Q10" s="46"/>
      <c r="R10" s="46"/>
      <c r="S10" s="46"/>
      <c r="T10" s="46"/>
      <c r="U10" s="46"/>
    </row>
    <row r="11" spans="1:21">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c r="O11" s="46"/>
      <c r="P11" s="46"/>
      <c r="Q11" s="46"/>
      <c r="R11" s="46"/>
      <c r="S11" s="46"/>
      <c r="T11" s="46"/>
      <c r="U11" s="46"/>
    </row>
    <row r="12" spans="1:21">
      <c r="A12" s="338" t="s">
        <v>830</v>
      </c>
      <c r="B12" s="46">
        <f>'2A. DCAC GRID INVERTER'!B16</f>
        <v>0.31379100000000004</v>
      </c>
      <c r="C12" s="46" t="s">
        <v>37</v>
      </c>
      <c r="D12" s="400" t="s">
        <v>2</v>
      </c>
      <c r="E12" s="46" t="s">
        <v>29</v>
      </c>
      <c r="F12" s="32" t="s">
        <v>14</v>
      </c>
      <c r="G12" s="46" t="s">
        <v>30</v>
      </c>
      <c r="H12" s="46">
        <v>1</v>
      </c>
      <c r="I12" s="46">
        <v>2.8722813232690055E-2</v>
      </c>
      <c r="J12" s="46" t="s">
        <v>31</v>
      </c>
      <c r="K12" s="46" t="s">
        <v>31</v>
      </c>
      <c r="L12" s="46" t="s">
        <v>31</v>
      </c>
      <c r="M12" s="46" t="s">
        <v>31</v>
      </c>
      <c r="N12" s="46"/>
      <c r="O12" s="46"/>
      <c r="P12" s="46"/>
      <c r="Q12" s="46"/>
      <c r="R12" s="46"/>
      <c r="S12" s="46"/>
      <c r="T12" s="46"/>
      <c r="U12" s="46"/>
    </row>
    <row r="13" spans="1:21">
      <c r="A13" s="46" t="s">
        <v>905</v>
      </c>
      <c r="B13" s="46">
        <v>1</v>
      </c>
      <c r="C13" s="46" t="s">
        <v>18</v>
      </c>
      <c r="D13" s="400" t="s">
        <v>2</v>
      </c>
      <c r="E13" s="46" t="s">
        <v>29</v>
      </c>
      <c r="F13" s="32" t="s">
        <v>14</v>
      </c>
      <c r="G13" s="46" t="s">
        <v>33</v>
      </c>
      <c r="H13" s="46">
        <v>1</v>
      </c>
      <c r="I13" s="46">
        <v>1</v>
      </c>
      <c r="J13" s="46" t="s">
        <v>31</v>
      </c>
      <c r="K13" s="46" t="s">
        <v>31</v>
      </c>
      <c r="L13" s="46" t="s">
        <v>31</v>
      </c>
      <c r="M13" s="46" t="s">
        <v>31</v>
      </c>
      <c r="N13" s="46"/>
      <c r="O13" s="46"/>
      <c r="P13" s="46"/>
      <c r="Q13" s="46"/>
      <c r="R13" s="46"/>
      <c r="S13" s="46"/>
      <c r="T13" s="46"/>
      <c r="U13" s="46"/>
    </row>
    <row r="14" spans="1:21">
      <c r="A14" s="46" t="s">
        <v>906</v>
      </c>
      <c r="B14" s="46">
        <v>1</v>
      </c>
      <c r="C14" s="46" t="s">
        <v>18</v>
      </c>
      <c r="D14" s="400" t="s">
        <v>2</v>
      </c>
      <c r="E14" s="46" t="s">
        <v>29</v>
      </c>
      <c r="F14" s="32" t="s">
        <v>14</v>
      </c>
      <c r="G14" s="46" t="s">
        <v>33</v>
      </c>
      <c r="H14" s="46">
        <v>1</v>
      </c>
      <c r="I14" s="46">
        <v>1</v>
      </c>
      <c r="J14" s="46" t="s">
        <v>31</v>
      </c>
      <c r="K14" s="46" t="s">
        <v>31</v>
      </c>
      <c r="L14" s="46" t="s">
        <v>31</v>
      </c>
      <c r="M14" s="46" t="s">
        <v>31</v>
      </c>
      <c r="N14" s="46"/>
      <c r="O14" s="46"/>
      <c r="P14" s="46"/>
      <c r="Q14" s="46"/>
      <c r="R14" s="46"/>
      <c r="S14" s="46"/>
      <c r="T14" s="46"/>
      <c r="U14" s="46"/>
    </row>
    <row r="15" spans="1:21">
      <c r="A15" s="32" t="s">
        <v>601</v>
      </c>
      <c r="B15" s="384">
        <f>R15</f>
        <v>8.7000000000000001E-5</v>
      </c>
      <c r="C15" s="46" t="s">
        <v>37</v>
      </c>
      <c r="D15" s="46" t="s">
        <v>40</v>
      </c>
      <c r="E15" s="46" t="s">
        <v>29</v>
      </c>
      <c r="F15" s="32" t="s">
        <v>35</v>
      </c>
      <c r="G15" s="46" t="s">
        <v>33</v>
      </c>
      <c r="H15" s="46">
        <v>2</v>
      </c>
      <c r="I15" s="46">
        <f>LN(B15)</f>
        <v>-9.3496024393096899</v>
      </c>
      <c r="J15" s="46">
        <v>2.8722813232690055E-2</v>
      </c>
      <c r="K15" s="46" t="s">
        <v>31</v>
      </c>
      <c r="L15" s="46" t="s">
        <v>31</v>
      </c>
      <c r="M15" s="46" t="s">
        <v>31</v>
      </c>
      <c r="N15" s="46"/>
      <c r="O15" s="375" t="s">
        <v>575</v>
      </c>
      <c r="P15" s="386">
        <v>8.6999999999999994E-2</v>
      </c>
      <c r="Q15" s="46" t="s">
        <v>221</v>
      </c>
      <c r="R15" s="384">
        <f>P15*0.001</f>
        <v>8.7000000000000001E-5</v>
      </c>
      <c r="S15" s="46"/>
      <c r="T15" s="46"/>
      <c r="U15" s="46"/>
    </row>
    <row r="16" spans="1:21">
      <c r="A16" s="362" t="s">
        <v>5</v>
      </c>
      <c r="B16" s="363" t="s">
        <v>906</v>
      </c>
      <c r="C16" s="364"/>
      <c r="D16" s="345"/>
      <c r="E16" s="345"/>
      <c r="F16" s="345"/>
      <c r="G16" s="345"/>
      <c r="H16" s="345"/>
      <c r="I16" s="345"/>
      <c r="J16" s="345"/>
      <c r="K16" s="345"/>
      <c r="L16" s="345"/>
      <c r="M16" s="345"/>
      <c r="N16" s="46"/>
      <c r="O16" s="46"/>
      <c r="P16" s="46"/>
      <c r="Q16" s="46"/>
      <c r="R16" s="46"/>
      <c r="S16" s="46"/>
      <c r="T16" s="46"/>
      <c r="U16" s="46"/>
    </row>
    <row r="17" spans="1:21">
      <c r="A17" s="338" t="s">
        <v>7</v>
      </c>
      <c r="B17" s="46" t="s">
        <v>779</v>
      </c>
      <c r="C17" s="337"/>
      <c r="D17" s="46"/>
      <c r="E17" s="46"/>
      <c r="F17" s="46"/>
      <c r="G17" s="46"/>
      <c r="H17" s="46"/>
      <c r="I17" s="46"/>
      <c r="J17" s="46"/>
      <c r="K17" s="46"/>
      <c r="L17" s="46"/>
      <c r="M17" s="46"/>
      <c r="N17" s="46"/>
      <c r="O17" s="46"/>
      <c r="P17" s="46"/>
      <c r="Q17" s="46"/>
      <c r="R17" s="46"/>
      <c r="S17" s="46"/>
      <c r="T17" s="46"/>
      <c r="U17" s="46"/>
    </row>
    <row r="18" spans="1:21">
      <c r="A18" s="338" t="s">
        <v>9</v>
      </c>
      <c r="B18" s="46" t="s">
        <v>907</v>
      </c>
      <c r="C18" s="337"/>
      <c r="D18" s="46"/>
      <c r="E18" s="46"/>
      <c r="F18" s="46"/>
      <c r="G18" s="46"/>
      <c r="H18" s="46"/>
      <c r="I18" s="46"/>
      <c r="J18" s="46"/>
      <c r="K18" s="46"/>
      <c r="L18" s="46"/>
      <c r="M18" s="46"/>
      <c r="N18" s="46"/>
      <c r="O18" s="46"/>
      <c r="P18" s="46"/>
      <c r="Q18" s="46"/>
      <c r="R18" s="46"/>
      <c r="S18" s="46"/>
      <c r="T18" s="46"/>
      <c r="U18" s="46"/>
    </row>
    <row r="19" spans="1:21" ht="16.5" customHeight="1">
      <c r="A19" s="338" t="s">
        <v>11</v>
      </c>
      <c r="B19" s="339" t="s">
        <v>789</v>
      </c>
      <c r="C19" s="46"/>
      <c r="D19" s="46"/>
      <c r="E19" s="46"/>
      <c r="F19" s="46"/>
      <c r="G19" s="46"/>
      <c r="H19" s="46"/>
      <c r="I19" s="46"/>
      <c r="J19" s="46"/>
      <c r="K19" s="46"/>
      <c r="L19" s="46"/>
      <c r="M19" s="46"/>
      <c r="N19" s="46"/>
      <c r="O19" s="46"/>
      <c r="P19" s="46"/>
      <c r="Q19" s="46"/>
      <c r="R19" s="46"/>
      <c r="S19" s="46"/>
      <c r="T19" s="46"/>
      <c r="U19" s="46"/>
    </row>
    <row r="20" spans="1:21">
      <c r="A20" s="338" t="s">
        <v>13</v>
      </c>
      <c r="B20" s="46" t="s">
        <v>14</v>
      </c>
      <c r="C20" s="46"/>
      <c r="D20" s="46"/>
      <c r="E20" s="46"/>
      <c r="F20" s="46"/>
      <c r="G20" s="46"/>
      <c r="H20" s="46"/>
      <c r="I20" s="46"/>
      <c r="J20" s="46"/>
      <c r="K20" s="46"/>
      <c r="L20" s="46"/>
      <c r="M20" s="46"/>
      <c r="N20" s="46"/>
      <c r="O20" s="46"/>
      <c r="P20" s="46"/>
      <c r="Q20" s="46"/>
      <c r="R20" s="46"/>
      <c r="S20" s="46"/>
      <c r="T20" s="46"/>
      <c r="U20" s="46"/>
    </row>
    <row r="21" spans="1:21">
      <c r="A21" s="338" t="s">
        <v>15</v>
      </c>
      <c r="B21" s="46">
        <v>1</v>
      </c>
      <c r="C21" s="46"/>
      <c r="D21" s="46"/>
      <c r="E21" s="46"/>
      <c r="F21" s="46"/>
      <c r="G21" s="46"/>
      <c r="H21" s="46"/>
      <c r="I21" s="46"/>
      <c r="J21" s="46"/>
      <c r="K21" s="46"/>
      <c r="L21" s="46"/>
      <c r="M21" s="46"/>
      <c r="N21" s="46"/>
      <c r="O21" s="46"/>
      <c r="P21" s="46"/>
      <c r="Q21" s="46"/>
      <c r="R21" s="46"/>
      <c r="S21" s="46"/>
      <c r="T21" s="46"/>
      <c r="U21" s="46"/>
    </row>
    <row r="22" spans="1:21">
      <c r="A22" s="338" t="s">
        <v>16</v>
      </c>
      <c r="B22" s="46" t="s">
        <v>17</v>
      </c>
      <c r="C22" s="46"/>
      <c r="D22" s="46"/>
      <c r="E22" s="46"/>
      <c r="F22" s="46"/>
      <c r="G22" s="46"/>
      <c r="H22" s="46"/>
      <c r="I22" s="46"/>
      <c r="J22" s="46"/>
      <c r="K22" s="46"/>
      <c r="L22" s="46"/>
      <c r="M22" s="46"/>
      <c r="N22" s="46"/>
      <c r="O22" s="46"/>
      <c r="P22" s="46"/>
      <c r="Q22" s="46"/>
      <c r="R22" s="46"/>
      <c r="S22" s="46"/>
      <c r="T22" s="46"/>
      <c r="U22" s="46"/>
    </row>
    <row r="23" spans="1:21">
      <c r="A23" s="338" t="s">
        <v>18</v>
      </c>
      <c r="B23" s="46" t="s">
        <v>18</v>
      </c>
      <c r="C23" s="46"/>
      <c r="D23" s="46"/>
      <c r="E23" s="46"/>
      <c r="F23" s="46"/>
      <c r="G23" s="46"/>
      <c r="H23" s="46"/>
      <c r="I23" s="46"/>
      <c r="J23" s="46"/>
      <c r="K23" s="46"/>
      <c r="L23" s="46"/>
      <c r="M23" s="46"/>
      <c r="N23" s="46"/>
      <c r="O23" s="46"/>
      <c r="P23" s="46"/>
      <c r="Q23" s="46"/>
      <c r="R23" s="46"/>
      <c r="S23" s="46"/>
      <c r="T23" s="46"/>
      <c r="U23" s="46"/>
    </row>
    <row r="24" spans="1:21">
      <c r="A24" s="335" t="s">
        <v>19</v>
      </c>
      <c r="B24" s="46"/>
      <c r="C24" s="46"/>
      <c r="D24" s="46"/>
      <c r="E24" s="46"/>
      <c r="F24" s="46"/>
      <c r="G24" s="46"/>
      <c r="H24" s="46"/>
      <c r="I24" s="46"/>
      <c r="J24" s="46"/>
      <c r="K24" s="46"/>
      <c r="L24" s="46"/>
      <c r="M24" s="46"/>
      <c r="N24" s="46"/>
      <c r="O24" s="46"/>
      <c r="P24" s="46"/>
      <c r="Q24" s="46"/>
      <c r="R24" s="46"/>
      <c r="S24" s="46"/>
      <c r="T24" s="46"/>
      <c r="U24" s="46"/>
    </row>
    <row r="25" spans="1:21">
      <c r="A25" s="335" t="s">
        <v>20</v>
      </c>
      <c r="B25" s="336" t="s">
        <v>21</v>
      </c>
      <c r="C25" s="336" t="s">
        <v>18</v>
      </c>
      <c r="D25" s="336" t="s">
        <v>22</v>
      </c>
      <c r="E25" s="336" t="s">
        <v>7</v>
      </c>
      <c r="F25" s="336" t="s">
        <v>13</v>
      </c>
      <c r="G25" s="336" t="s">
        <v>16</v>
      </c>
      <c r="H25" s="336" t="s">
        <v>23</v>
      </c>
      <c r="I25" s="336" t="s">
        <v>24</v>
      </c>
      <c r="J25" s="336" t="s">
        <v>25</v>
      </c>
      <c r="K25" s="336" t="s">
        <v>26</v>
      </c>
      <c r="L25" s="336" t="s">
        <v>27</v>
      </c>
      <c r="M25" s="336" t="s">
        <v>28</v>
      </c>
      <c r="N25" s="336" t="s">
        <v>11</v>
      </c>
      <c r="O25" s="46"/>
      <c r="P25" s="46"/>
      <c r="Q25" s="46"/>
      <c r="R25" s="46"/>
      <c r="S25" s="46"/>
      <c r="T25" s="46"/>
      <c r="U25" s="46"/>
    </row>
    <row r="26" spans="1:21">
      <c r="A26" s="46" t="s">
        <v>906</v>
      </c>
      <c r="B26" s="46">
        <v>1</v>
      </c>
      <c r="C26" s="46" t="s">
        <v>18</v>
      </c>
      <c r="D26" s="400" t="s">
        <v>2</v>
      </c>
      <c r="E26" s="46" t="s">
        <v>29</v>
      </c>
      <c r="F26" s="32" t="s">
        <v>14</v>
      </c>
      <c r="G26" s="46" t="s">
        <v>30</v>
      </c>
      <c r="H26" s="46">
        <v>1</v>
      </c>
      <c r="I26" s="46">
        <v>1</v>
      </c>
      <c r="J26" s="46" t="s">
        <v>31</v>
      </c>
      <c r="K26" s="46" t="s">
        <v>31</v>
      </c>
      <c r="L26" s="46" t="s">
        <v>31</v>
      </c>
      <c r="M26" s="46" t="s">
        <v>31</v>
      </c>
      <c r="N26" s="46"/>
      <c r="O26" s="46"/>
      <c r="P26" s="46"/>
      <c r="Q26" s="46"/>
      <c r="R26" s="46"/>
      <c r="S26" s="46"/>
      <c r="T26" s="46"/>
      <c r="U26" s="46"/>
    </row>
    <row r="27" spans="1:21">
      <c r="A27" s="32" t="s">
        <v>610</v>
      </c>
      <c r="B27" s="46">
        <v>0.17</v>
      </c>
      <c r="C27" s="46" t="s">
        <v>37</v>
      </c>
      <c r="D27" s="46" t="s">
        <v>40</v>
      </c>
      <c r="E27" s="46" t="s">
        <v>29</v>
      </c>
      <c r="F27" s="46" t="s">
        <v>58</v>
      </c>
      <c r="G27" s="46" t="s">
        <v>33</v>
      </c>
      <c r="H27" s="46">
        <v>1</v>
      </c>
      <c r="I27" s="46">
        <f>B27</f>
        <v>0.17</v>
      </c>
      <c r="J27" s="46" t="s">
        <v>31</v>
      </c>
      <c r="K27" s="46" t="s">
        <v>31</v>
      </c>
      <c r="L27" s="46" t="s">
        <v>31</v>
      </c>
      <c r="M27" s="46" t="s">
        <v>31</v>
      </c>
      <c r="N27" s="46"/>
      <c r="O27" s="46"/>
      <c r="P27" s="46"/>
      <c r="Q27" s="46"/>
      <c r="R27" s="46"/>
      <c r="S27" s="46"/>
      <c r="T27" s="46"/>
      <c r="U27" s="46"/>
    </row>
    <row r="28" spans="1:21">
      <c r="A28" s="32" t="s">
        <v>908</v>
      </c>
      <c r="B28" s="46">
        <f>R28</f>
        <v>0.112</v>
      </c>
      <c r="C28" s="46" t="s">
        <v>37</v>
      </c>
      <c r="D28" s="46" t="s">
        <v>40</v>
      </c>
      <c r="E28" s="46" t="s">
        <v>29</v>
      </c>
      <c r="F28" s="46" t="s">
        <v>58</v>
      </c>
      <c r="G28" s="46" t="s">
        <v>33</v>
      </c>
      <c r="H28" s="46">
        <v>2</v>
      </c>
      <c r="I28" s="46">
        <f>LN(B28)</f>
        <v>-2.1892564076870427</v>
      </c>
      <c r="J28" s="46">
        <v>3.7749172176353707E-2</v>
      </c>
      <c r="K28" s="46" t="s">
        <v>31</v>
      </c>
      <c r="L28" s="46" t="s">
        <v>31</v>
      </c>
      <c r="M28" s="46" t="s">
        <v>31</v>
      </c>
      <c r="N28" s="46"/>
      <c r="O28" s="393" t="s">
        <v>575</v>
      </c>
      <c r="P28" s="120">
        <v>112</v>
      </c>
      <c r="Q28" s="46" t="s">
        <v>221</v>
      </c>
      <c r="R28" s="46">
        <f>P28*0.001</f>
        <v>0.112</v>
      </c>
      <c r="S28" s="46"/>
      <c r="T28" s="46"/>
      <c r="U28" s="46"/>
    </row>
    <row r="29" spans="1:21">
      <c r="A29" s="32" t="s">
        <v>909</v>
      </c>
      <c r="B29" s="46">
        <f>R29</f>
        <v>6.7000000000000002E-3</v>
      </c>
      <c r="C29" s="46" t="s">
        <v>37</v>
      </c>
      <c r="D29" s="46" t="s">
        <v>40</v>
      </c>
      <c r="E29" s="46" t="s">
        <v>29</v>
      </c>
      <c r="F29" s="46" t="s">
        <v>58</v>
      </c>
      <c r="G29" s="46" t="s">
        <v>33</v>
      </c>
      <c r="H29" s="46">
        <v>2</v>
      </c>
      <c r="I29" s="46">
        <f>LN(B29)</f>
        <v>-5.005647752585217</v>
      </c>
      <c r="J29" s="46">
        <v>3.7749172176353707E-2</v>
      </c>
      <c r="K29" s="46" t="s">
        <v>31</v>
      </c>
      <c r="L29" s="46" t="s">
        <v>31</v>
      </c>
      <c r="M29" s="46" t="s">
        <v>31</v>
      </c>
      <c r="N29" s="46"/>
      <c r="O29" s="393" t="s">
        <v>575</v>
      </c>
      <c r="P29" s="120">
        <v>6.7</v>
      </c>
      <c r="Q29" s="46" t="s">
        <v>221</v>
      </c>
      <c r="R29" s="46">
        <f t="shared" ref="R29:R30" si="0">P29*0.001</f>
        <v>6.7000000000000002E-3</v>
      </c>
      <c r="S29" s="46"/>
      <c r="T29" s="46"/>
      <c r="U29" s="46"/>
    </row>
    <row r="30" spans="1:21">
      <c r="A30" s="32" t="s">
        <v>910</v>
      </c>
      <c r="B30" s="46">
        <f>R30</f>
        <v>5.1000000000000004E-2</v>
      </c>
      <c r="C30" s="46" t="s">
        <v>37</v>
      </c>
      <c r="D30" s="46" t="s">
        <v>40</v>
      </c>
      <c r="E30" s="46" t="s">
        <v>29</v>
      </c>
      <c r="F30" s="46" t="s">
        <v>58</v>
      </c>
      <c r="G30" s="46" t="s">
        <v>33</v>
      </c>
      <c r="H30" s="46">
        <v>2</v>
      </c>
      <c r="I30" s="46">
        <f>LN(B30)</f>
        <v>-2.9759296462578111</v>
      </c>
      <c r="J30" s="46">
        <v>3.7749172176353707E-2</v>
      </c>
      <c r="K30" s="46" t="s">
        <v>31</v>
      </c>
      <c r="L30" s="46" t="s">
        <v>31</v>
      </c>
      <c r="M30" s="46" t="s">
        <v>31</v>
      </c>
      <c r="N30" s="46"/>
      <c r="O30" s="393" t="s">
        <v>575</v>
      </c>
      <c r="P30" s="120">
        <v>51</v>
      </c>
      <c r="Q30" s="46" t="s">
        <v>221</v>
      </c>
      <c r="R30" s="46">
        <f t="shared" si="0"/>
        <v>5.1000000000000004E-2</v>
      </c>
      <c r="S30" s="46"/>
      <c r="T30" s="46"/>
      <c r="U30" s="46"/>
    </row>
    <row r="31" spans="1:21">
      <c r="A31" s="362" t="s">
        <v>5</v>
      </c>
      <c r="B31" s="363" t="s">
        <v>905</v>
      </c>
      <c r="C31" s="364"/>
      <c r="D31" s="345"/>
      <c r="E31" s="345"/>
      <c r="F31" s="345"/>
      <c r="G31" s="345"/>
      <c r="H31" s="345"/>
      <c r="I31" s="345"/>
      <c r="J31" s="345"/>
      <c r="K31" s="345"/>
      <c r="L31" s="345"/>
      <c r="M31" s="345"/>
      <c r="N31" s="46"/>
      <c r="O31" s="46"/>
      <c r="P31" s="46"/>
      <c r="Q31" s="46"/>
      <c r="R31" s="46"/>
      <c r="S31" s="46"/>
      <c r="T31" s="46"/>
      <c r="U31" s="46"/>
    </row>
    <row r="32" spans="1:21">
      <c r="A32" s="338" t="s">
        <v>7</v>
      </c>
      <c r="B32" s="46" t="s">
        <v>779</v>
      </c>
      <c r="C32" s="337"/>
      <c r="D32" s="46"/>
      <c r="E32" s="46"/>
      <c r="F32" s="46"/>
      <c r="G32" s="46"/>
      <c r="H32" s="46"/>
      <c r="I32" s="46"/>
      <c r="J32" s="46"/>
      <c r="K32" s="46"/>
      <c r="L32" s="46"/>
      <c r="M32" s="46"/>
      <c r="N32" s="46"/>
      <c r="O32" s="46"/>
      <c r="P32" s="46"/>
      <c r="Q32" s="46"/>
      <c r="R32" s="46"/>
      <c r="S32" s="46"/>
      <c r="T32" s="46"/>
      <c r="U32" s="46"/>
    </row>
    <row r="33" spans="1:21">
      <c r="A33" s="338" t="s">
        <v>9</v>
      </c>
      <c r="B33" s="46" t="s">
        <v>911</v>
      </c>
      <c r="C33" s="337"/>
      <c r="D33" s="46"/>
      <c r="E33" s="46"/>
      <c r="F33" s="46"/>
      <c r="G33" s="46"/>
      <c r="H33" s="46"/>
      <c r="I33" s="46"/>
      <c r="J33" s="46"/>
      <c r="K33" s="46"/>
      <c r="L33" s="46"/>
      <c r="M33" s="46"/>
      <c r="N33" s="46"/>
      <c r="O33" s="46"/>
      <c r="P33" s="46"/>
      <c r="Q33" s="46"/>
      <c r="R33" s="46"/>
      <c r="S33" s="46"/>
      <c r="T33" s="46"/>
      <c r="U33" s="46"/>
    </row>
    <row r="34" spans="1:21" ht="18" customHeight="1">
      <c r="A34" s="338" t="s">
        <v>11</v>
      </c>
      <c r="B34" s="339" t="s">
        <v>789</v>
      </c>
      <c r="C34" s="46"/>
      <c r="D34" s="46"/>
      <c r="E34" s="46"/>
      <c r="F34" s="46"/>
      <c r="G34" s="46"/>
      <c r="H34" s="46"/>
      <c r="I34" s="46"/>
      <c r="J34" s="46"/>
      <c r="K34" s="46"/>
      <c r="L34" s="46"/>
      <c r="M34" s="46"/>
      <c r="N34" s="46"/>
      <c r="O34" s="46"/>
      <c r="P34" s="46"/>
      <c r="Q34" s="46"/>
      <c r="R34" s="46"/>
      <c r="S34" s="46"/>
      <c r="T34" s="46"/>
      <c r="U34" s="46"/>
    </row>
    <row r="35" spans="1:21">
      <c r="A35" s="338" t="s">
        <v>13</v>
      </c>
      <c r="B35" s="46" t="s">
        <v>14</v>
      </c>
      <c r="C35" s="46"/>
      <c r="D35" s="46"/>
      <c r="E35" s="46"/>
      <c r="F35" s="46"/>
      <c r="G35" s="46"/>
      <c r="H35" s="46"/>
      <c r="I35" s="46"/>
      <c r="J35" s="46"/>
      <c r="K35" s="46"/>
      <c r="L35" s="46"/>
      <c r="M35" s="46"/>
      <c r="N35" s="46"/>
      <c r="O35" s="46"/>
      <c r="P35" s="46"/>
      <c r="Q35" s="46"/>
      <c r="R35" s="46"/>
      <c r="S35" s="46"/>
      <c r="T35" s="46"/>
      <c r="U35" s="46"/>
    </row>
    <row r="36" spans="1:21">
      <c r="A36" s="338" t="s">
        <v>15</v>
      </c>
      <c r="B36" s="46">
        <v>1</v>
      </c>
      <c r="C36" s="46"/>
      <c r="D36" s="46"/>
      <c r="E36" s="46"/>
      <c r="F36" s="46"/>
      <c r="G36" s="46"/>
      <c r="H36" s="46"/>
      <c r="I36" s="46"/>
      <c r="J36" s="46"/>
      <c r="K36" s="46"/>
      <c r="L36" s="46"/>
      <c r="M36" s="46"/>
      <c r="N36" s="46"/>
      <c r="O36" s="46"/>
      <c r="P36" s="46"/>
      <c r="Q36" s="46"/>
      <c r="R36" s="46"/>
      <c r="S36" s="46"/>
      <c r="T36" s="46"/>
      <c r="U36" s="46"/>
    </row>
    <row r="37" spans="1:21">
      <c r="A37" s="338" t="s">
        <v>16</v>
      </c>
      <c r="B37" s="46" t="s">
        <v>17</v>
      </c>
      <c r="C37" s="46"/>
      <c r="D37" s="46"/>
      <c r="E37" s="46"/>
      <c r="F37" s="46"/>
      <c r="G37" s="46"/>
      <c r="H37" s="46"/>
      <c r="I37" s="46"/>
      <c r="J37" s="46"/>
      <c r="K37" s="46"/>
      <c r="L37" s="46"/>
      <c r="M37" s="46"/>
      <c r="N37" s="46"/>
      <c r="O37" s="46"/>
      <c r="P37" s="46"/>
      <c r="Q37" s="46"/>
      <c r="R37" s="46"/>
      <c r="S37" s="46"/>
      <c r="T37" s="46"/>
      <c r="U37" s="46"/>
    </row>
    <row r="38" spans="1:21">
      <c r="A38" s="338" t="s">
        <v>18</v>
      </c>
      <c r="B38" s="46" t="s">
        <v>18</v>
      </c>
      <c r="C38" s="46"/>
      <c r="D38" s="46"/>
      <c r="E38" s="46"/>
      <c r="F38" s="46"/>
      <c r="G38" s="46"/>
      <c r="H38" s="46"/>
      <c r="I38" s="46"/>
      <c r="J38" s="46"/>
      <c r="K38" s="46"/>
      <c r="L38" s="46"/>
      <c r="M38" s="46"/>
      <c r="N38" s="46"/>
      <c r="O38" s="46"/>
      <c r="P38" s="46"/>
      <c r="Q38" s="46"/>
      <c r="R38" s="46"/>
      <c r="S38" s="46"/>
      <c r="T38" s="46"/>
      <c r="U38" s="46"/>
    </row>
    <row r="39" spans="1:21">
      <c r="A39" s="335" t="s">
        <v>19</v>
      </c>
      <c r="B39" s="46"/>
      <c r="C39" s="46"/>
      <c r="D39" s="46"/>
      <c r="E39" s="46"/>
      <c r="F39" s="46"/>
      <c r="G39" s="46"/>
      <c r="H39" s="46"/>
      <c r="I39" s="46"/>
      <c r="J39" s="46"/>
      <c r="K39" s="46"/>
      <c r="L39" s="46"/>
      <c r="M39" s="46"/>
      <c r="N39" s="46"/>
      <c r="O39" s="46"/>
      <c r="P39" s="46"/>
      <c r="Q39" s="46"/>
      <c r="R39" s="46"/>
      <c r="S39" s="46"/>
      <c r="T39" s="46"/>
      <c r="U39" s="46"/>
    </row>
    <row r="40" spans="1:21">
      <c r="A40" s="335" t="s">
        <v>20</v>
      </c>
      <c r="B40" s="336" t="s">
        <v>21</v>
      </c>
      <c r="C40" s="336" t="s">
        <v>18</v>
      </c>
      <c r="D40" s="336" t="s">
        <v>22</v>
      </c>
      <c r="E40" s="336" t="s">
        <v>7</v>
      </c>
      <c r="F40" s="336" t="s">
        <v>13</v>
      </c>
      <c r="G40" s="336" t="s">
        <v>16</v>
      </c>
      <c r="H40" s="336" t="s">
        <v>23</v>
      </c>
      <c r="I40" s="336" t="s">
        <v>24</v>
      </c>
      <c r="J40" s="336" t="s">
        <v>25</v>
      </c>
      <c r="K40" s="336" t="s">
        <v>26</v>
      </c>
      <c r="L40" s="336" t="s">
        <v>27</v>
      </c>
      <c r="M40" s="336" t="s">
        <v>28</v>
      </c>
      <c r="N40" s="336" t="s">
        <v>11</v>
      </c>
      <c r="O40" s="46"/>
      <c r="P40" s="46"/>
      <c r="Q40" s="46"/>
      <c r="R40" s="46"/>
      <c r="S40" s="46"/>
      <c r="T40" s="46"/>
      <c r="U40" s="46"/>
    </row>
    <row r="41" spans="1:21">
      <c r="A41" s="46" t="s">
        <v>905</v>
      </c>
      <c r="B41" s="46">
        <v>1</v>
      </c>
      <c r="C41" s="46" t="s">
        <v>18</v>
      </c>
      <c r="D41" s="400" t="s">
        <v>2</v>
      </c>
      <c r="E41" s="46" t="s">
        <v>29</v>
      </c>
      <c r="F41" s="32" t="s">
        <v>14</v>
      </c>
      <c r="G41" s="46" t="s">
        <v>30</v>
      </c>
      <c r="H41" s="46">
        <v>1</v>
      </c>
      <c r="I41" s="46">
        <f t="shared" ref="I41:I43" si="1">B41</f>
        <v>1</v>
      </c>
      <c r="J41" s="46" t="s">
        <v>31</v>
      </c>
      <c r="K41" s="46" t="s">
        <v>31</v>
      </c>
      <c r="L41" s="46" t="s">
        <v>31</v>
      </c>
      <c r="M41" s="46" t="s">
        <v>31</v>
      </c>
      <c r="N41" s="46"/>
      <c r="O41" s="46"/>
      <c r="P41" s="46"/>
      <c r="Q41" s="46"/>
      <c r="R41" s="46"/>
      <c r="S41" s="46"/>
      <c r="T41" s="46"/>
      <c r="U41" s="46"/>
    </row>
    <row r="42" spans="1:21">
      <c r="A42" s="32" t="s">
        <v>912</v>
      </c>
      <c r="B42" s="46">
        <v>1</v>
      </c>
      <c r="C42" s="46" t="s">
        <v>18</v>
      </c>
      <c r="D42" s="400" t="s">
        <v>2</v>
      </c>
      <c r="E42" s="46" t="s">
        <v>29</v>
      </c>
      <c r="F42" s="32" t="s">
        <v>14</v>
      </c>
      <c r="G42" s="46" t="s">
        <v>33</v>
      </c>
      <c r="H42" s="46">
        <v>1</v>
      </c>
      <c r="I42" s="46">
        <f t="shared" si="1"/>
        <v>1</v>
      </c>
      <c r="J42" s="46" t="s">
        <v>31</v>
      </c>
      <c r="K42" s="46" t="s">
        <v>31</v>
      </c>
      <c r="L42" s="46" t="s">
        <v>31</v>
      </c>
      <c r="M42" s="46" t="s">
        <v>31</v>
      </c>
      <c r="N42" s="46"/>
      <c r="O42" s="393" t="s">
        <v>221</v>
      </c>
      <c r="P42" s="406">
        <v>0.02</v>
      </c>
      <c r="Q42" s="46" t="s">
        <v>221</v>
      </c>
      <c r="R42" s="46">
        <f>P42</f>
        <v>0.02</v>
      </c>
      <c r="S42" s="46"/>
      <c r="T42" s="46"/>
      <c r="U42" s="46"/>
    </row>
    <row r="43" spans="1:21">
      <c r="A43" s="32" t="s">
        <v>913</v>
      </c>
      <c r="B43" s="46">
        <v>1</v>
      </c>
      <c r="C43" s="46" t="s">
        <v>18</v>
      </c>
      <c r="D43" s="400" t="s">
        <v>2</v>
      </c>
      <c r="E43" s="46" t="s">
        <v>29</v>
      </c>
      <c r="F43" s="32" t="s">
        <v>14</v>
      </c>
      <c r="G43" s="46" t="s">
        <v>33</v>
      </c>
      <c r="H43" s="46">
        <v>1</v>
      </c>
      <c r="I43" s="46">
        <f t="shared" si="1"/>
        <v>1</v>
      </c>
      <c r="J43" s="46" t="s">
        <v>31</v>
      </c>
      <c r="K43" s="46" t="s">
        <v>31</v>
      </c>
      <c r="L43" s="46" t="s">
        <v>31</v>
      </c>
      <c r="M43" s="46" t="s">
        <v>31</v>
      </c>
      <c r="N43" s="46"/>
      <c r="O43" s="46"/>
      <c r="P43" s="46"/>
      <c r="Q43" s="46"/>
      <c r="R43" s="46"/>
      <c r="S43" s="46"/>
      <c r="T43" s="46"/>
      <c r="U43" s="46"/>
    </row>
    <row r="44" spans="1:21">
      <c r="A44" s="338" t="s">
        <v>75</v>
      </c>
      <c r="B44" s="350">
        <f>R44</f>
        <v>0.03</v>
      </c>
      <c r="C44" s="46" t="s">
        <v>39</v>
      </c>
      <c r="D44" s="46" t="s">
        <v>40</v>
      </c>
      <c r="E44" s="46" t="s">
        <v>29</v>
      </c>
      <c r="F44" s="32" t="s">
        <v>35</v>
      </c>
      <c r="G44" s="46" t="s">
        <v>33</v>
      </c>
      <c r="H44" s="46">
        <v>2</v>
      </c>
      <c r="I44" s="46">
        <f t="shared" ref="I44" si="2">LN(B44)</f>
        <v>-3.5065578973199818</v>
      </c>
      <c r="J44" s="46">
        <v>7.2284161474004766E-2</v>
      </c>
      <c r="K44" s="46" t="s">
        <v>31</v>
      </c>
      <c r="L44" s="46" t="s">
        <v>31</v>
      </c>
      <c r="M44" s="46" t="s">
        <v>31</v>
      </c>
      <c r="N44" s="46"/>
      <c r="O44" s="375" t="s">
        <v>216</v>
      </c>
      <c r="P44" s="385">
        <v>0.03</v>
      </c>
      <c r="Q44" s="46" t="s">
        <v>216</v>
      </c>
      <c r="R44" s="350">
        <f>P44</f>
        <v>0.03</v>
      </c>
      <c r="S44" s="46"/>
      <c r="T44" s="46"/>
      <c r="U44" s="46"/>
    </row>
    <row r="45" spans="1:21">
      <c r="A45" s="362" t="s">
        <v>5</v>
      </c>
      <c r="B45" s="363" t="s">
        <v>912</v>
      </c>
      <c r="C45" s="364"/>
      <c r="D45" s="345"/>
      <c r="E45" s="345"/>
      <c r="F45" s="345"/>
      <c r="G45" s="345"/>
      <c r="H45" s="345"/>
      <c r="I45" s="345"/>
      <c r="J45" s="345"/>
      <c r="K45" s="345"/>
      <c r="L45" s="345"/>
      <c r="M45" s="345"/>
      <c r="N45" s="46"/>
      <c r="O45" s="46"/>
      <c r="P45" s="46"/>
      <c r="Q45" s="46"/>
      <c r="R45" s="46"/>
      <c r="S45" s="46"/>
      <c r="T45" s="46"/>
      <c r="U45" s="46"/>
    </row>
    <row r="46" spans="1:21">
      <c r="A46" s="338" t="s">
        <v>7</v>
      </c>
      <c r="B46" s="46" t="s">
        <v>779</v>
      </c>
      <c r="C46" s="337"/>
      <c r="D46" s="46"/>
      <c r="E46" s="46"/>
      <c r="F46" s="46"/>
      <c r="G46" s="46"/>
      <c r="H46" s="46"/>
      <c r="I46" s="46"/>
      <c r="J46" s="46"/>
      <c r="K46" s="46"/>
      <c r="L46" s="46"/>
      <c r="M46" s="46"/>
      <c r="N46" s="46"/>
      <c r="O46" s="46"/>
      <c r="P46" s="46"/>
      <c r="Q46" s="46"/>
      <c r="R46" s="46"/>
      <c r="S46" s="46"/>
      <c r="T46" s="46"/>
      <c r="U46" s="46"/>
    </row>
    <row r="47" spans="1:21">
      <c r="A47" s="338" t="s">
        <v>9</v>
      </c>
      <c r="B47" s="46" t="s">
        <v>914</v>
      </c>
      <c r="C47" s="337"/>
      <c r="D47" s="46"/>
      <c r="E47" s="46"/>
      <c r="F47" s="46"/>
      <c r="G47" s="46"/>
      <c r="H47" s="46"/>
      <c r="I47" s="46"/>
      <c r="J47" s="46"/>
      <c r="K47" s="46"/>
      <c r="L47" s="46"/>
      <c r="M47" s="46"/>
      <c r="N47" s="46"/>
      <c r="O47" s="46"/>
      <c r="P47" s="46"/>
      <c r="Q47" s="46"/>
      <c r="R47" s="46"/>
      <c r="S47" s="46"/>
      <c r="T47" s="46"/>
      <c r="U47" s="46"/>
    </row>
    <row r="48" spans="1:21" ht="90">
      <c r="A48" s="338" t="s">
        <v>11</v>
      </c>
      <c r="B48" s="339" t="s">
        <v>789</v>
      </c>
      <c r="C48" s="46"/>
      <c r="D48" s="46"/>
      <c r="E48" s="46"/>
      <c r="F48" s="46"/>
      <c r="G48" s="46"/>
      <c r="H48" s="46"/>
      <c r="I48" s="46"/>
      <c r="J48" s="46"/>
      <c r="K48" s="46"/>
      <c r="L48" s="46"/>
      <c r="M48" s="46"/>
      <c r="N48" s="46"/>
      <c r="O48" s="46"/>
      <c r="P48" s="46"/>
      <c r="Q48" s="46"/>
      <c r="R48" s="46"/>
      <c r="S48" s="46"/>
      <c r="T48" s="46"/>
      <c r="U48" s="46"/>
    </row>
    <row r="49" spans="1:21">
      <c r="A49" s="338" t="s">
        <v>13</v>
      </c>
      <c r="B49" s="46" t="s">
        <v>14</v>
      </c>
      <c r="C49" s="46"/>
      <c r="D49" s="46"/>
      <c r="E49" s="46"/>
      <c r="F49" s="46"/>
      <c r="G49" s="46"/>
      <c r="H49" s="46"/>
      <c r="I49" s="46"/>
      <c r="J49" s="46"/>
      <c r="K49" s="46"/>
      <c r="L49" s="46"/>
      <c r="M49" s="46"/>
      <c r="N49" s="46"/>
      <c r="O49" s="46"/>
      <c r="P49" s="46"/>
      <c r="Q49" s="46"/>
      <c r="R49" s="46"/>
      <c r="S49" s="46"/>
      <c r="T49" s="46"/>
      <c r="U49" s="46"/>
    </row>
    <row r="50" spans="1:21">
      <c r="A50" s="338" t="s">
        <v>15</v>
      </c>
      <c r="B50" s="46">
        <v>1</v>
      </c>
      <c r="C50" s="46"/>
      <c r="D50" s="46"/>
      <c r="E50" s="46"/>
      <c r="F50" s="46"/>
      <c r="G50" s="46"/>
      <c r="H50" s="46"/>
      <c r="I50" s="46"/>
      <c r="J50" s="46"/>
      <c r="K50" s="46"/>
      <c r="L50" s="46"/>
      <c r="M50" s="46"/>
      <c r="N50" s="46"/>
      <c r="O50" s="46"/>
      <c r="P50" s="46"/>
      <c r="Q50" s="46"/>
      <c r="R50" s="46"/>
      <c r="S50" s="46"/>
      <c r="T50" s="46"/>
      <c r="U50" s="46"/>
    </row>
    <row r="51" spans="1:21">
      <c r="A51" s="338" t="s">
        <v>16</v>
      </c>
      <c r="B51" s="46" t="s">
        <v>17</v>
      </c>
      <c r="C51" s="46"/>
      <c r="D51" s="46"/>
      <c r="E51" s="46"/>
      <c r="F51" s="46"/>
      <c r="G51" s="46"/>
      <c r="H51" s="46"/>
      <c r="I51" s="46"/>
      <c r="J51" s="46"/>
      <c r="K51" s="46"/>
      <c r="L51" s="46"/>
      <c r="M51" s="46"/>
      <c r="N51" s="46"/>
      <c r="O51" s="46"/>
      <c r="P51" s="46"/>
      <c r="Q51" s="46"/>
      <c r="R51" s="46"/>
      <c r="S51" s="46"/>
      <c r="T51" s="46"/>
      <c r="U51" s="46"/>
    </row>
    <row r="52" spans="1:21">
      <c r="A52" s="338" t="s">
        <v>18</v>
      </c>
      <c r="B52" s="46" t="s">
        <v>18</v>
      </c>
      <c r="C52" s="46"/>
      <c r="D52" s="46"/>
      <c r="E52" s="46"/>
      <c r="F52" s="46"/>
      <c r="G52" s="46"/>
      <c r="H52" s="46"/>
      <c r="I52" s="46"/>
      <c r="J52" s="46"/>
      <c r="K52" s="46"/>
      <c r="L52" s="46"/>
      <c r="M52" s="46"/>
      <c r="N52" s="46"/>
      <c r="O52" s="46"/>
      <c r="P52" s="46"/>
      <c r="Q52" s="46"/>
      <c r="R52" s="46"/>
      <c r="S52" s="46"/>
      <c r="T52" s="46"/>
      <c r="U52" s="46"/>
    </row>
    <row r="53" spans="1:21">
      <c r="A53" s="335" t="s">
        <v>19</v>
      </c>
      <c r="B53" s="46"/>
      <c r="C53" s="46"/>
      <c r="D53" s="46"/>
      <c r="E53" s="46"/>
      <c r="F53" s="46"/>
      <c r="G53" s="46"/>
      <c r="H53" s="46"/>
      <c r="I53" s="46"/>
      <c r="J53" s="46"/>
      <c r="K53" s="46"/>
      <c r="L53" s="46"/>
      <c r="M53" s="46"/>
      <c r="N53" s="46"/>
      <c r="O53" s="46"/>
      <c r="P53" s="46"/>
      <c r="Q53" s="46"/>
      <c r="R53" s="46"/>
      <c r="S53" s="46"/>
      <c r="T53" s="46"/>
      <c r="U53" s="46"/>
    </row>
    <row r="54" spans="1:21">
      <c r="A54" s="335" t="s">
        <v>20</v>
      </c>
      <c r="B54" s="336" t="s">
        <v>21</v>
      </c>
      <c r="C54" s="336" t="s">
        <v>18</v>
      </c>
      <c r="D54" s="336" t="s">
        <v>22</v>
      </c>
      <c r="E54" s="336" t="s">
        <v>7</v>
      </c>
      <c r="F54" s="336" t="s">
        <v>13</v>
      </c>
      <c r="G54" s="336" t="s">
        <v>16</v>
      </c>
      <c r="H54" s="336" t="s">
        <v>23</v>
      </c>
      <c r="I54" s="336" t="s">
        <v>24</v>
      </c>
      <c r="J54" s="336" t="s">
        <v>25</v>
      </c>
      <c r="K54" s="336" t="s">
        <v>26</v>
      </c>
      <c r="L54" s="336" t="s">
        <v>27</v>
      </c>
      <c r="M54" s="336" t="s">
        <v>28</v>
      </c>
      <c r="N54" s="336" t="s">
        <v>11</v>
      </c>
      <c r="O54" s="46"/>
      <c r="P54" s="46"/>
      <c r="Q54" s="46"/>
      <c r="R54" s="46"/>
      <c r="S54" s="46"/>
      <c r="T54" s="46"/>
      <c r="U54" s="46"/>
    </row>
    <row r="55" spans="1:21">
      <c r="A55" s="32" t="s">
        <v>912</v>
      </c>
      <c r="B55" s="46">
        <v>1</v>
      </c>
      <c r="C55" s="46" t="s">
        <v>18</v>
      </c>
      <c r="D55" s="400" t="s">
        <v>2</v>
      </c>
      <c r="E55" s="46" t="s">
        <v>29</v>
      </c>
      <c r="F55" s="32" t="s">
        <v>14</v>
      </c>
      <c r="G55" s="46" t="s">
        <v>30</v>
      </c>
      <c r="H55" s="46">
        <v>1</v>
      </c>
      <c r="I55" s="46">
        <f>B55</f>
        <v>1</v>
      </c>
      <c r="J55" s="46" t="s">
        <v>31</v>
      </c>
      <c r="K55" s="46" t="s">
        <v>31</v>
      </c>
      <c r="L55" s="46" t="s">
        <v>31</v>
      </c>
      <c r="M55" s="46" t="s">
        <v>31</v>
      </c>
      <c r="N55" s="46"/>
      <c r="O55" s="393" t="s">
        <v>221</v>
      </c>
      <c r="P55" s="406">
        <v>0.02</v>
      </c>
      <c r="Q55" s="46" t="s">
        <v>221</v>
      </c>
      <c r="R55" s="46">
        <f>P55</f>
        <v>0.02</v>
      </c>
      <c r="S55" s="46"/>
      <c r="T55" s="46"/>
      <c r="U55" s="46"/>
    </row>
    <row r="56" spans="1:21">
      <c r="A56" s="32" t="s">
        <v>601</v>
      </c>
      <c r="B56" s="384">
        <f>R56</f>
        <v>0.06</v>
      </c>
      <c r="C56" s="46" t="s">
        <v>37</v>
      </c>
      <c r="D56" s="46" t="s">
        <v>40</v>
      </c>
      <c r="E56" s="46" t="s">
        <v>29</v>
      </c>
      <c r="F56" s="32" t="s">
        <v>35</v>
      </c>
      <c r="G56" s="46" t="s">
        <v>33</v>
      </c>
      <c r="H56" s="46">
        <v>2</v>
      </c>
      <c r="I56" s="46">
        <f>LN(B56)</f>
        <v>-2.8134107167600364</v>
      </c>
      <c r="J56" s="46">
        <v>2.8722813232690055E-2</v>
      </c>
      <c r="K56" s="46" t="s">
        <v>31</v>
      </c>
      <c r="L56" s="46" t="s">
        <v>31</v>
      </c>
      <c r="M56" s="46" t="s">
        <v>31</v>
      </c>
      <c r="N56" s="46"/>
      <c r="O56" s="375" t="s">
        <v>221</v>
      </c>
      <c r="P56" s="386">
        <v>0.06</v>
      </c>
      <c r="Q56" s="46" t="s">
        <v>221</v>
      </c>
      <c r="R56" s="384">
        <f>P56</f>
        <v>0.06</v>
      </c>
      <c r="S56" s="46"/>
      <c r="T56" s="46"/>
      <c r="U56" s="46"/>
    </row>
    <row r="57" spans="1:21">
      <c r="A57" s="338" t="s">
        <v>75</v>
      </c>
      <c r="B57" s="342">
        <f>R57</f>
        <v>1.7999999999999999E-2</v>
      </c>
      <c r="C57" s="46" t="s">
        <v>39</v>
      </c>
      <c r="D57" s="46" t="s">
        <v>40</v>
      </c>
      <c r="E57" s="46" t="s">
        <v>29</v>
      </c>
      <c r="F57" s="32" t="s">
        <v>35</v>
      </c>
      <c r="G57" s="46" t="s">
        <v>33</v>
      </c>
      <c r="H57" s="46">
        <v>2</v>
      </c>
      <c r="I57" s="46">
        <f t="shared" ref="I57" si="3">LN(B57)</f>
        <v>-4.0173835210859723</v>
      </c>
      <c r="J57" s="46">
        <v>7.2284161474004766E-2</v>
      </c>
      <c r="K57" s="46" t="s">
        <v>31</v>
      </c>
      <c r="L57" s="46" t="s">
        <v>31</v>
      </c>
      <c r="M57" s="46" t="s">
        <v>31</v>
      </c>
      <c r="N57" s="46"/>
      <c r="O57" s="375" t="s">
        <v>216</v>
      </c>
      <c r="P57" s="432">
        <v>1.7999999999999999E-2</v>
      </c>
      <c r="Q57" s="46" t="s">
        <v>216</v>
      </c>
      <c r="R57" s="342">
        <f>P57</f>
        <v>1.7999999999999999E-2</v>
      </c>
      <c r="S57" s="46"/>
      <c r="T57" s="46"/>
      <c r="U57" s="46"/>
    </row>
    <row r="58" spans="1:21">
      <c r="A58" s="362" t="s">
        <v>5</v>
      </c>
      <c r="B58" s="397" t="s">
        <v>913</v>
      </c>
      <c r="C58" s="364"/>
      <c r="D58" s="345"/>
      <c r="E58" s="345"/>
      <c r="F58" s="345"/>
      <c r="G58" s="345"/>
      <c r="H58" s="345"/>
      <c r="I58" s="345"/>
      <c r="J58" s="345"/>
      <c r="K58" s="345"/>
      <c r="L58" s="345"/>
      <c r="M58" s="345"/>
      <c r="N58" s="46"/>
      <c r="O58" s="46"/>
      <c r="P58" s="46"/>
      <c r="Q58" s="46"/>
      <c r="R58" s="46"/>
      <c r="S58" s="46"/>
      <c r="T58" s="46"/>
      <c r="U58" s="46"/>
    </row>
    <row r="59" spans="1:21">
      <c r="A59" s="338" t="s">
        <v>7</v>
      </c>
      <c r="B59" s="46" t="s">
        <v>779</v>
      </c>
      <c r="C59" s="337"/>
      <c r="D59" s="46"/>
      <c r="E59" s="46"/>
      <c r="F59" s="46"/>
      <c r="G59" s="46"/>
      <c r="H59" s="46"/>
      <c r="I59" s="46"/>
      <c r="J59" s="46"/>
      <c r="K59" s="46"/>
      <c r="L59" s="46"/>
      <c r="M59" s="46"/>
      <c r="N59" s="46"/>
      <c r="O59" s="46"/>
      <c r="P59" s="46"/>
      <c r="Q59" s="46"/>
      <c r="R59" s="46"/>
      <c r="S59" s="46"/>
      <c r="T59" s="46"/>
      <c r="U59" s="46"/>
    </row>
    <row r="60" spans="1:21">
      <c r="A60" s="416" t="s">
        <v>9</v>
      </c>
      <c r="B60" s="46" t="s">
        <v>915</v>
      </c>
      <c r="C60" s="337"/>
      <c r="D60" s="46"/>
      <c r="E60" s="46"/>
      <c r="F60" s="46"/>
      <c r="G60" s="46"/>
      <c r="H60" s="46"/>
      <c r="I60" s="46"/>
      <c r="J60" s="46"/>
      <c r="K60" s="46"/>
      <c r="L60" s="46"/>
      <c r="M60" s="46"/>
      <c r="N60" s="46"/>
      <c r="O60" s="46"/>
      <c r="P60" s="46"/>
      <c r="Q60" s="46"/>
      <c r="R60" s="46"/>
      <c r="S60" s="46"/>
      <c r="T60" s="46"/>
      <c r="U60" s="46"/>
    </row>
    <row r="61" spans="1:21" ht="27.75" customHeight="1">
      <c r="A61" s="338" t="s">
        <v>11</v>
      </c>
      <c r="B61" s="339" t="s">
        <v>789</v>
      </c>
      <c r="C61" s="46"/>
      <c r="D61" s="46"/>
      <c r="E61" s="46"/>
      <c r="F61" s="46"/>
      <c r="G61" s="46"/>
      <c r="H61" s="46"/>
      <c r="I61" s="46"/>
      <c r="J61" s="46"/>
      <c r="K61" s="46"/>
      <c r="L61" s="46"/>
      <c r="M61" s="46"/>
      <c r="N61" s="46"/>
      <c r="O61" s="46"/>
      <c r="P61" s="46"/>
      <c r="Q61" s="46"/>
      <c r="R61" s="46"/>
      <c r="S61" s="46"/>
      <c r="T61" s="46"/>
      <c r="U61" s="46"/>
    </row>
    <row r="62" spans="1:21">
      <c r="A62" s="338" t="s">
        <v>13</v>
      </c>
      <c r="B62" s="46" t="s">
        <v>14</v>
      </c>
      <c r="C62" s="46"/>
      <c r="D62" s="46"/>
      <c r="E62" s="46"/>
      <c r="F62" s="46"/>
      <c r="G62" s="46"/>
      <c r="H62" s="46"/>
      <c r="I62" s="46"/>
      <c r="J62" s="46"/>
      <c r="K62" s="46"/>
      <c r="L62" s="46"/>
      <c r="M62" s="46"/>
      <c r="N62" s="46"/>
      <c r="O62" s="46"/>
      <c r="P62" s="46"/>
      <c r="Q62" s="46"/>
      <c r="R62" s="46"/>
      <c r="S62" s="46"/>
      <c r="T62" s="46"/>
      <c r="U62" s="46"/>
    </row>
    <row r="63" spans="1:21">
      <c r="A63" s="338" t="s">
        <v>15</v>
      </c>
      <c r="B63" s="46">
        <v>1</v>
      </c>
      <c r="C63" s="46"/>
      <c r="D63" s="46"/>
      <c r="E63" s="46"/>
      <c r="F63" s="46"/>
      <c r="G63" s="46"/>
      <c r="H63" s="46"/>
      <c r="I63" s="46"/>
      <c r="J63" s="46"/>
      <c r="K63" s="46"/>
      <c r="L63" s="46"/>
      <c r="M63" s="46"/>
      <c r="N63" s="46"/>
      <c r="O63" s="46"/>
      <c r="P63" s="46"/>
      <c r="Q63" s="46"/>
      <c r="R63" s="46"/>
      <c r="S63" s="46"/>
      <c r="T63" s="46"/>
      <c r="U63" s="46"/>
    </row>
    <row r="64" spans="1:21">
      <c r="A64" s="338" t="s">
        <v>16</v>
      </c>
      <c r="B64" s="46" t="s">
        <v>17</v>
      </c>
      <c r="C64" s="46"/>
      <c r="D64" s="46"/>
      <c r="E64" s="46"/>
      <c r="F64" s="46"/>
      <c r="G64" s="46"/>
      <c r="H64" s="46"/>
      <c r="I64" s="46"/>
      <c r="J64" s="46"/>
      <c r="K64" s="46"/>
      <c r="L64" s="46"/>
      <c r="M64" s="46"/>
      <c r="N64" s="46"/>
      <c r="O64" s="46"/>
      <c r="P64" s="46"/>
      <c r="Q64" s="46"/>
      <c r="R64" s="46"/>
      <c r="S64" s="46"/>
      <c r="T64" s="46"/>
      <c r="U64" s="46"/>
    </row>
    <row r="65" spans="1:21">
      <c r="A65" s="338" t="s">
        <v>18</v>
      </c>
      <c r="B65" s="46" t="s">
        <v>18</v>
      </c>
      <c r="C65" s="46"/>
      <c r="D65" s="46"/>
      <c r="E65" s="46"/>
      <c r="F65" s="46"/>
      <c r="G65" s="46"/>
      <c r="H65" s="46"/>
      <c r="I65" s="46"/>
      <c r="J65" s="46"/>
      <c r="K65" s="46"/>
      <c r="L65" s="46"/>
      <c r="M65" s="46"/>
      <c r="N65" s="46"/>
      <c r="O65" s="46"/>
      <c r="P65" s="46"/>
      <c r="Q65" s="46"/>
      <c r="R65" s="46"/>
      <c r="S65" s="46"/>
      <c r="T65" s="46"/>
      <c r="U65" s="46"/>
    </row>
    <row r="66" spans="1:21">
      <c r="A66" s="335" t="s">
        <v>19</v>
      </c>
      <c r="B66" s="46"/>
      <c r="C66" s="46"/>
      <c r="D66" s="46"/>
      <c r="E66" s="46"/>
      <c r="F66" s="46"/>
      <c r="G66" s="46"/>
      <c r="H66" s="46"/>
      <c r="I66" s="46"/>
      <c r="J66" s="46"/>
      <c r="K66" s="46"/>
      <c r="L66" s="46"/>
      <c r="M66" s="46"/>
      <c r="N66" s="46"/>
      <c r="O66" s="46"/>
      <c r="P66" s="46"/>
      <c r="Q66" s="46"/>
      <c r="R66" s="46"/>
      <c r="S66" s="46"/>
      <c r="T66" s="46"/>
      <c r="U66" s="46"/>
    </row>
    <row r="67" spans="1:21">
      <c r="A67" s="335" t="s">
        <v>20</v>
      </c>
      <c r="B67" s="336" t="s">
        <v>21</v>
      </c>
      <c r="C67" s="336" t="s">
        <v>18</v>
      </c>
      <c r="D67" s="336" t="s">
        <v>22</v>
      </c>
      <c r="E67" s="336" t="s">
        <v>7</v>
      </c>
      <c r="F67" s="336" t="s">
        <v>13</v>
      </c>
      <c r="G67" s="336" t="s">
        <v>16</v>
      </c>
      <c r="H67" s="336" t="s">
        <v>23</v>
      </c>
      <c r="I67" s="336" t="s">
        <v>24</v>
      </c>
      <c r="J67" s="336" t="s">
        <v>25</v>
      </c>
      <c r="K67" s="336" t="s">
        <v>26</v>
      </c>
      <c r="L67" s="336" t="s">
        <v>27</v>
      </c>
      <c r="M67" s="336" t="s">
        <v>28</v>
      </c>
      <c r="N67" s="336" t="s">
        <v>11</v>
      </c>
      <c r="O67" s="46"/>
      <c r="P67" s="46"/>
      <c r="Q67" s="46"/>
      <c r="R67" s="46"/>
      <c r="S67" s="46"/>
      <c r="T67" s="46"/>
      <c r="U67" s="46"/>
    </row>
    <row r="68" spans="1:21">
      <c r="A68" s="32" t="s">
        <v>913</v>
      </c>
      <c r="B68" s="46">
        <v>1</v>
      </c>
      <c r="C68" s="46" t="s">
        <v>18</v>
      </c>
      <c r="D68" s="400" t="s">
        <v>2</v>
      </c>
      <c r="E68" s="46" t="s">
        <v>29</v>
      </c>
      <c r="F68" s="32" t="s">
        <v>14</v>
      </c>
      <c r="G68" s="46" t="s">
        <v>30</v>
      </c>
      <c r="H68" s="46">
        <v>1</v>
      </c>
      <c r="I68" s="46">
        <f t="shared" ref="I68:I70" si="4">B68</f>
        <v>1</v>
      </c>
      <c r="J68" s="46" t="s">
        <v>31</v>
      </c>
      <c r="K68" s="46" t="s">
        <v>31</v>
      </c>
      <c r="L68" s="46" t="s">
        <v>31</v>
      </c>
      <c r="M68" s="46" t="s">
        <v>31</v>
      </c>
      <c r="N68" s="46"/>
      <c r="O68" s="46"/>
      <c r="P68" s="46"/>
      <c r="Q68" s="46"/>
      <c r="R68" s="46"/>
      <c r="S68" s="46"/>
      <c r="T68" s="46"/>
      <c r="U68" s="46"/>
    </row>
    <row r="69" spans="1:21">
      <c r="A69" s="32" t="s">
        <v>916</v>
      </c>
      <c r="B69" s="384">
        <v>0.03</v>
      </c>
      <c r="C69" s="46" t="s">
        <v>37</v>
      </c>
      <c r="D69" s="400" t="s">
        <v>2</v>
      </c>
      <c r="E69" s="46" t="s">
        <v>29</v>
      </c>
      <c r="F69" s="32" t="s">
        <v>14</v>
      </c>
      <c r="G69" s="46" t="s">
        <v>33</v>
      </c>
      <c r="H69" s="46">
        <v>1</v>
      </c>
      <c r="I69" s="46">
        <f t="shared" si="4"/>
        <v>0.03</v>
      </c>
      <c r="J69" s="46" t="s">
        <v>31</v>
      </c>
      <c r="K69" s="46" t="s">
        <v>31</v>
      </c>
      <c r="L69" s="46" t="s">
        <v>31</v>
      </c>
      <c r="M69" s="46" t="s">
        <v>31</v>
      </c>
      <c r="N69" s="46"/>
      <c r="O69" s="375"/>
      <c r="P69" s="386"/>
      <c r="Q69" s="46" t="s">
        <v>221</v>
      </c>
      <c r="R69" s="384">
        <v>0.01</v>
      </c>
      <c r="S69" s="46"/>
      <c r="T69" s="46"/>
      <c r="U69" s="46"/>
    </row>
    <row r="70" spans="1:21">
      <c r="A70" s="32" t="s">
        <v>917</v>
      </c>
      <c r="B70" s="342">
        <v>1</v>
      </c>
      <c r="C70" s="46" t="s">
        <v>18</v>
      </c>
      <c r="D70" s="400" t="s">
        <v>2</v>
      </c>
      <c r="E70" s="46" t="s">
        <v>29</v>
      </c>
      <c r="F70" s="32" t="s">
        <v>14</v>
      </c>
      <c r="G70" s="46" t="s">
        <v>33</v>
      </c>
      <c r="H70" s="46">
        <v>1</v>
      </c>
      <c r="I70" s="46">
        <f t="shared" si="4"/>
        <v>1</v>
      </c>
      <c r="J70" s="46" t="s">
        <v>31</v>
      </c>
      <c r="K70" s="46" t="s">
        <v>31</v>
      </c>
      <c r="L70" s="46" t="s">
        <v>31</v>
      </c>
      <c r="M70" s="46" t="s">
        <v>31</v>
      </c>
      <c r="N70" s="46"/>
      <c r="O70" s="375"/>
      <c r="P70" s="432"/>
      <c r="Q70" s="46"/>
      <c r="R70" s="342"/>
      <c r="S70" s="46"/>
      <c r="T70" s="46"/>
      <c r="U70" s="46"/>
    </row>
    <row r="71" spans="1:21">
      <c r="A71" s="338" t="s">
        <v>75</v>
      </c>
      <c r="B71" s="342">
        <f>R71</f>
        <v>0.21</v>
      </c>
      <c r="C71" s="46" t="s">
        <v>39</v>
      </c>
      <c r="D71" s="46" t="s">
        <v>40</v>
      </c>
      <c r="E71" s="46" t="s">
        <v>29</v>
      </c>
      <c r="F71" s="32" t="s">
        <v>35</v>
      </c>
      <c r="G71" s="46" t="s">
        <v>33</v>
      </c>
      <c r="H71" s="46">
        <v>2</v>
      </c>
      <c r="I71" s="46">
        <f t="shared" ref="I71" si="5">LN(B71)</f>
        <v>-1.5606477482646683</v>
      </c>
      <c r="J71" s="46">
        <v>7.2284161474004766E-2</v>
      </c>
      <c r="K71" s="46" t="s">
        <v>31</v>
      </c>
      <c r="L71" s="46" t="s">
        <v>31</v>
      </c>
      <c r="M71" s="46" t="s">
        <v>31</v>
      </c>
      <c r="N71" s="46"/>
      <c r="O71" s="375" t="s">
        <v>216</v>
      </c>
      <c r="P71" s="432">
        <v>0.21</v>
      </c>
      <c r="Q71" s="46" t="s">
        <v>216</v>
      </c>
      <c r="R71" s="342">
        <f>P71</f>
        <v>0.21</v>
      </c>
      <c r="S71" s="46"/>
      <c r="T71" s="46"/>
      <c r="U71" s="46"/>
    </row>
    <row r="72" spans="1:21">
      <c r="A72" s="362" t="s">
        <v>5</v>
      </c>
      <c r="B72" s="397" t="s">
        <v>916</v>
      </c>
      <c r="C72" s="364"/>
      <c r="D72" s="345"/>
      <c r="E72" s="345"/>
      <c r="F72" s="345"/>
      <c r="G72" s="345"/>
      <c r="H72" s="345"/>
      <c r="I72" s="345"/>
      <c r="J72" s="345"/>
      <c r="K72" s="345"/>
      <c r="L72" s="345"/>
      <c r="M72" s="345"/>
      <c r="N72" s="46"/>
      <c r="O72" s="46"/>
      <c r="P72" s="46"/>
      <c r="Q72" s="46"/>
      <c r="R72" s="46"/>
      <c r="S72" s="46"/>
      <c r="T72" s="46"/>
      <c r="U72" s="46"/>
    </row>
    <row r="73" spans="1:21">
      <c r="A73" s="338" t="s">
        <v>7</v>
      </c>
      <c r="B73" s="46" t="s">
        <v>779</v>
      </c>
      <c r="C73" s="337"/>
      <c r="D73" s="46"/>
      <c r="E73" s="46"/>
      <c r="F73" s="46"/>
      <c r="G73" s="46"/>
      <c r="H73" s="46"/>
      <c r="I73" s="46"/>
      <c r="J73" s="46"/>
      <c r="K73" s="46"/>
      <c r="L73" s="46"/>
      <c r="M73" s="46"/>
      <c r="N73" s="46"/>
      <c r="O73" s="46"/>
      <c r="P73" s="46"/>
      <c r="Q73" s="46"/>
      <c r="R73" s="46"/>
      <c r="S73" s="46"/>
      <c r="T73" s="46"/>
      <c r="U73" s="46"/>
    </row>
    <row r="74" spans="1:21">
      <c r="A74" s="416" t="s">
        <v>9</v>
      </c>
      <c r="B74" s="46" t="s">
        <v>918</v>
      </c>
      <c r="C74" s="337"/>
      <c r="D74" s="46"/>
      <c r="E74" s="46"/>
      <c r="F74" s="46"/>
      <c r="G74" s="46"/>
      <c r="H74" s="46"/>
      <c r="I74" s="46"/>
      <c r="J74" s="46"/>
      <c r="K74" s="46"/>
      <c r="L74" s="46"/>
      <c r="M74" s="46"/>
      <c r="N74" s="46"/>
      <c r="O74" s="46"/>
      <c r="P74" s="46"/>
      <c r="Q74" s="46"/>
      <c r="R74" s="46"/>
      <c r="S74" s="46"/>
      <c r="T74" s="46"/>
      <c r="U74" s="46"/>
    </row>
    <row r="75" spans="1:21" ht="15" customHeight="1">
      <c r="A75" s="338" t="s">
        <v>11</v>
      </c>
      <c r="B75" s="339" t="s">
        <v>789</v>
      </c>
      <c r="C75" s="46"/>
      <c r="D75" s="46"/>
      <c r="E75" s="46"/>
      <c r="F75" s="46"/>
      <c r="G75" s="46"/>
      <c r="H75" s="46"/>
      <c r="I75" s="46"/>
      <c r="J75" s="46"/>
      <c r="K75" s="46"/>
      <c r="L75" s="46"/>
      <c r="M75" s="46"/>
      <c r="N75" s="46"/>
      <c r="O75" s="46"/>
      <c r="P75" s="46"/>
      <c r="Q75" s="46"/>
      <c r="R75" s="46"/>
      <c r="S75" s="46"/>
      <c r="T75" s="46"/>
      <c r="U75" s="46"/>
    </row>
    <row r="76" spans="1:21">
      <c r="A76" s="338" t="s">
        <v>13</v>
      </c>
      <c r="B76" s="46" t="s">
        <v>14</v>
      </c>
      <c r="C76" s="46"/>
      <c r="D76" s="46"/>
      <c r="E76" s="46"/>
      <c r="F76" s="46"/>
      <c r="G76" s="46"/>
      <c r="H76" s="46"/>
      <c r="I76" s="46"/>
      <c r="J76" s="46"/>
      <c r="K76" s="46"/>
      <c r="L76" s="46"/>
      <c r="M76" s="46"/>
      <c r="N76" s="46"/>
      <c r="O76" s="46"/>
      <c r="P76" s="46"/>
      <c r="Q76" s="46"/>
      <c r="R76" s="46"/>
      <c r="S76" s="46"/>
      <c r="T76" s="46"/>
      <c r="U76" s="46"/>
    </row>
    <row r="77" spans="1:21">
      <c r="A77" s="338" t="s">
        <v>15</v>
      </c>
      <c r="B77" s="46">
        <v>0.03</v>
      </c>
      <c r="C77" s="46"/>
      <c r="D77" s="46"/>
      <c r="E77" s="46"/>
      <c r="F77" s="46"/>
      <c r="G77" s="46"/>
      <c r="H77" s="46"/>
      <c r="I77" s="46"/>
      <c r="J77" s="46"/>
      <c r="K77" s="46"/>
      <c r="L77" s="46"/>
      <c r="M77" s="46"/>
      <c r="N77" s="46"/>
      <c r="O77" s="46"/>
      <c r="P77" s="46"/>
      <c r="Q77" s="46"/>
      <c r="R77" s="46"/>
      <c r="S77" s="46"/>
      <c r="T77" s="46"/>
      <c r="U77" s="46"/>
    </row>
    <row r="78" spans="1:21">
      <c r="A78" s="338" t="s">
        <v>16</v>
      </c>
      <c r="B78" s="46" t="s">
        <v>17</v>
      </c>
      <c r="C78" s="46"/>
      <c r="D78" s="46"/>
      <c r="E78" s="46"/>
      <c r="F78" s="46"/>
      <c r="G78" s="46"/>
      <c r="H78" s="46"/>
      <c r="I78" s="46"/>
      <c r="J78" s="46"/>
      <c r="K78" s="46"/>
      <c r="L78" s="46"/>
      <c r="M78" s="46"/>
      <c r="N78" s="46"/>
      <c r="O78" s="46"/>
      <c r="P78" s="46"/>
      <c r="Q78" s="46"/>
      <c r="R78" s="46"/>
      <c r="S78" s="46"/>
      <c r="T78" s="46"/>
      <c r="U78" s="46"/>
    </row>
    <row r="79" spans="1:21">
      <c r="A79" s="338" t="s">
        <v>18</v>
      </c>
      <c r="B79" s="46" t="s">
        <v>37</v>
      </c>
      <c r="C79" s="46"/>
      <c r="D79" s="46"/>
      <c r="E79" s="46"/>
      <c r="F79" s="46"/>
      <c r="G79" s="46"/>
      <c r="H79" s="46"/>
      <c r="I79" s="46"/>
      <c r="J79" s="46"/>
      <c r="K79" s="46"/>
      <c r="L79" s="46"/>
      <c r="M79" s="46"/>
      <c r="N79" s="46"/>
      <c r="O79" s="46"/>
      <c r="P79" s="46"/>
      <c r="Q79" s="46"/>
      <c r="R79" s="46"/>
      <c r="S79" s="46"/>
      <c r="T79" s="46"/>
      <c r="U79" s="46"/>
    </row>
    <row r="80" spans="1:21">
      <c r="A80" s="335" t="s">
        <v>19</v>
      </c>
      <c r="B80" s="46"/>
      <c r="C80" s="46"/>
      <c r="D80" s="46"/>
      <c r="E80" s="46"/>
      <c r="F80" s="46"/>
      <c r="G80" s="46"/>
      <c r="H80" s="46"/>
      <c r="I80" s="46"/>
      <c r="J80" s="46"/>
      <c r="K80" s="46"/>
      <c r="L80" s="46"/>
      <c r="M80" s="46"/>
      <c r="N80" s="46"/>
      <c r="O80" s="46"/>
      <c r="P80" s="46"/>
      <c r="Q80" s="46"/>
      <c r="R80" s="46"/>
      <c r="S80" s="46"/>
      <c r="T80" s="46"/>
      <c r="U80" s="46"/>
    </row>
    <row r="81" spans="1:21">
      <c r="A81" s="335" t="s">
        <v>20</v>
      </c>
      <c r="B81" s="336" t="s">
        <v>21</v>
      </c>
      <c r="C81" s="336" t="s">
        <v>18</v>
      </c>
      <c r="D81" s="336" t="s">
        <v>22</v>
      </c>
      <c r="E81" s="336" t="s">
        <v>7</v>
      </c>
      <c r="F81" s="336" t="s">
        <v>13</v>
      </c>
      <c r="G81" s="336" t="s">
        <v>16</v>
      </c>
      <c r="H81" s="336" t="s">
        <v>23</v>
      </c>
      <c r="I81" s="336" t="s">
        <v>24</v>
      </c>
      <c r="J81" s="336" t="s">
        <v>25</v>
      </c>
      <c r="K81" s="336" t="s">
        <v>26</v>
      </c>
      <c r="L81" s="336" t="s">
        <v>27</v>
      </c>
      <c r="M81" s="336" t="s">
        <v>28</v>
      </c>
      <c r="N81" s="336" t="s">
        <v>11</v>
      </c>
      <c r="O81" s="46"/>
      <c r="P81" s="46"/>
      <c r="Q81" s="46"/>
      <c r="R81" s="46"/>
      <c r="S81" s="46"/>
      <c r="T81" s="46"/>
      <c r="U81" s="46"/>
    </row>
    <row r="82" spans="1:21">
      <c r="A82" s="32" t="s">
        <v>916</v>
      </c>
      <c r="B82" s="350">
        <v>0.03</v>
      </c>
      <c r="C82" s="46" t="s">
        <v>37</v>
      </c>
      <c r="D82" s="400" t="s">
        <v>2</v>
      </c>
      <c r="E82" s="46" t="s">
        <v>29</v>
      </c>
      <c r="F82" s="32" t="s">
        <v>14</v>
      </c>
      <c r="G82" s="46" t="s">
        <v>30</v>
      </c>
      <c r="H82" s="46">
        <v>1</v>
      </c>
      <c r="I82" s="46">
        <f t="shared" ref="I82:I84" si="6">B82</f>
        <v>0.03</v>
      </c>
      <c r="J82" s="46" t="s">
        <v>31</v>
      </c>
      <c r="K82" s="46" t="s">
        <v>31</v>
      </c>
      <c r="L82" s="46" t="s">
        <v>31</v>
      </c>
      <c r="M82" s="46" t="s">
        <v>31</v>
      </c>
      <c r="N82" s="46"/>
      <c r="O82" s="375"/>
      <c r="P82" s="386"/>
      <c r="Q82" s="46" t="s">
        <v>221</v>
      </c>
      <c r="R82" s="384">
        <v>0.01</v>
      </c>
      <c r="S82" s="46"/>
      <c r="T82" s="46"/>
      <c r="U82" s="46"/>
    </row>
    <row r="83" spans="1:21">
      <c r="A83" s="32" t="s">
        <v>655</v>
      </c>
      <c r="B83" s="62">
        <v>0.03</v>
      </c>
      <c r="C83" s="46" t="s">
        <v>37</v>
      </c>
      <c r="D83" s="46" t="s">
        <v>40</v>
      </c>
      <c r="E83" s="46" t="s">
        <v>29</v>
      </c>
      <c r="F83" s="32" t="s">
        <v>58</v>
      </c>
      <c r="G83" s="46" t="s">
        <v>33</v>
      </c>
      <c r="H83" s="46">
        <v>1</v>
      </c>
      <c r="I83" s="46">
        <f t="shared" si="6"/>
        <v>0.03</v>
      </c>
      <c r="J83" s="46" t="s">
        <v>31</v>
      </c>
      <c r="K83" s="46" t="s">
        <v>31</v>
      </c>
      <c r="L83" s="46" t="s">
        <v>31</v>
      </c>
      <c r="M83" s="46" t="s">
        <v>31</v>
      </c>
      <c r="N83" s="46"/>
      <c r="O83" s="375"/>
      <c r="P83" s="432"/>
      <c r="Q83" s="46"/>
      <c r="R83" s="342"/>
      <c r="S83" s="46"/>
      <c r="T83" s="46"/>
      <c r="U83" s="46"/>
    </row>
    <row r="84" spans="1:21">
      <c r="A84" s="32" t="s">
        <v>708</v>
      </c>
      <c r="B84" s="46">
        <v>0.03</v>
      </c>
      <c r="C84" s="46" t="s">
        <v>37</v>
      </c>
      <c r="D84" s="46" t="s">
        <v>40</v>
      </c>
      <c r="E84" s="46" t="s">
        <v>29</v>
      </c>
      <c r="F84" s="46" t="s">
        <v>58</v>
      </c>
      <c r="G84" s="46" t="s">
        <v>33</v>
      </c>
      <c r="H84" s="46">
        <v>1</v>
      </c>
      <c r="I84" s="46">
        <f t="shared" si="6"/>
        <v>0.03</v>
      </c>
      <c r="J84" s="46" t="s">
        <v>31</v>
      </c>
      <c r="K84" s="46" t="s">
        <v>31</v>
      </c>
      <c r="L84" s="46" t="s">
        <v>31</v>
      </c>
      <c r="M84" s="46" t="s">
        <v>31</v>
      </c>
      <c r="N84" s="46"/>
      <c r="O84" s="46"/>
      <c r="P84" s="46"/>
      <c r="Q84" s="46"/>
      <c r="R84" s="46"/>
      <c r="S84" s="46"/>
      <c r="T84" s="46"/>
      <c r="U84" s="46"/>
    </row>
    <row r="85" spans="1:21" s="41" customFormat="1">
      <c r="A85" s="362" t="s">
        <v>5</v>
      </c>
      <c r="B85" s="397" t="s">
        <v>917</v>
      </c>
      <c r="C85" s="364"/>
      <c r="D85" s="345"/>
      <c r="E85" s="345"/>
      <c r="F85" s="345"/>
      <c r="G85" s="345"/>
      <c r="H85" s="345"/>
      <c r="I85" s="345"/>
      <c r="J85" s="345"/>
      <c r="K85" s="345"/>
      <c r="L85" s="345"/>
      <c r="M85" s="345"/>
      <c r="N85" s="345"/>
      <c r="O85" s="345"/>
      <c r="P85" s="345"/>
      <c r="Q85" s="345"/>
      <c r="R85" s="345"/>
      <c r="S85" s="345"/>
      <c r="T85" s="345"/>
      <c r="U85" s="345"/>
    </row>
    <row r="86" spans="1:21">
      <c r="A86" s="338" t="s">
        <v>7</v>
      </c>
      <c r="B86" s="46" t="s">
        <v>779</v>
      </c>
      <c r="C86" s="337"/>
      <c r="D86" s="46"/>
      <c r="E86" s="46"/>
      <c r="F86" s="46"/>
      <c r="G86" s="46"/>
      <c r="H86" s="46"/>
      <c r="I86" s="46"/>
      <c r="J86" s="46"/>
      <c r="K86" s="46"/>
      <c r="L86" s="46"/>
      <c r="M86" s="46"/>
      <c r="N86" s="46"/>
      <c r="O86" s="46"/>
      <c r="P86" s="46"/>
      <c r="Q86" s="46"/>
      <c r="R86" s="46"/>
      <c r="S86" s="46"/>
      <c r="T86" s="46"/>
      <c r="U86" s="46"/>
    </row>
    <row r="87" spans="1:21">
      <c r="A87" s="416" t="s">
        <v>9</v>
      </c>
      <c r="B87" s="46" t="s">
        <v>919</v>
      </c>
      <c r="C87" s="337"/>
      <c r="D87" s="46"/>
      <c r="E87" s="46"/>
      <c r="F87" s="46"/>
      <c r="G87" s="46"/>
      <c r="H87" s="46"/>
      <c r="I87" s="46"/>
      <c r="J87" s="46"/>
      <c r="K87" s="46"/>
      <c r="L87" s="46"/>
      <c r="M87" s="46"/>
      <c r="N87" s="46"/>
      <c r="O87" s="46"/>
      <c r="P87" s="46"/>
      <c r="Q87" s="46"/>
      <c r="R87" s="46"/>
      <c r="S87" s="46"/>
      <c r="T87" s="46"/>
      <c r="U87" s="46"/>
    </row>
    <row r="88" spans="1:21" ht="15.75" customHeight="1">
      <c r="A88" s="338" t="s">
        <v>11</v>
      </c>
      <c r="B88" s="339" t="s">
        <v>789</v>
      </c>
      <c r="C88" s="46"/>
      <c r="D88" s="46"/>
      <c r="E88" s="46"/>
      <c r="F88" s="46"/>
      <c r="G88" s="46"/>
      <c r="H88" s="46"/>
      <c r="I88" s="46"/>
      <c r="J88" s="46"/>
      <c r="K88" s="46"/>
      <c r="L88" s="46"/>
      <c r="M88" s="46"/>
      <c r="N88" s="46"/>
      <c r="O88" s="46"/>
      <c r="P88" s="46"/>
      <c r="Q88" s="46"/>
      <c r="R88" s="46"/>
      <c r="S88" s="46"/>
      <c r="T88" s="46"/>
      <c r="U88" s="46"/>
    </row>
    <row r="89" spans="1:21">
      <c r="A89" s="338" t="s">
        <v>13</v>
      </c>
      <c r="B89" s="46" t="s">
        <v>14</v>
      </c>
      <c r="C89" s="46"/>
      <c r="D89" s="46"/>
      <c r="E89" s="46"/>
      <c r="F89" s="46"/>
      <c r="G89" s="46"/>
      <c r="H89" s="46"/>
      <c r="I89" s="46"/>
      <c r="J89" s="46"/>
      <c r="K89" s="46"/>
      <c r="L89" s="46"/>
      <c r="M89" s="46"/>
      <c r="N89" s="46"/>
      <c r="O89" s="46"/>
      <c r="P89" s="46"/>
      <c r="Q89" s="46"/>
      <c r="R89" s="46"/>
      <c r="S89" s="46"/>
      <c r="T89" s="46"/>
      <c r="U89" s="46"/>
    </row>
    <row r="90" spans="1:21">
      <c r="A90" s="338" t="s">
        <v>15</v>
      </c>
      <c r="B90" s="46">
        <v>1</v>
      </c>
      <c r="C90" s="46"/>
      <c r="D90" s="46"/>
      <c r="E90" s="46"/>
      <c r="F90" s="46"/>
      <c r="G90" s="46"/>
      <c r="H90" s="46"/>
      <c r="I90" s="46"/>
      <c r="J90" s="46"/>
      <c r="K90" s="46"/>
      <c r="L90" s="46"/>
      <c r="M90" s="46"/>
      <c r="N90" s="46"/>
      <c r="O90" s="46"/>
      <c r="P90" s="46"/>
      <c r="Q90" s="46"/>
      <c r="R90" s="46"/>
      <c r="S90" s="46"/>
      <c r="T90" s="46"/>
      <c r="U90" s="46"/>
    </row>
    <row r="91" spans="1:21">
      <c r="A91" s="338" t="s">
        <v>16</v>
      </c>
      <c r="B91" s="46" t="s">
        <v>17</v>
      </c>
      <c r="C91" s="46"/>
      <c r="D91" s="46"/>
      <c r="E91" s="46"/>
      <c r="F91" s="46"/>
      <c r="G91" s="46"/>
      <c r="H91" s="46"/>
      <c r="I91" s="46"/>
      <c r="J91" s="46"/>
      <c r="K91" s="46"/>
      <c r="L91" s="46"/>
      <c r="M91" s="46"/>
      <c r="N91" s="46"/>
      <c r="O91" s="46"/>
      <c r="P91" s="46"/>
      <c r="Q91" s="46"/>
      <c r="R91" s="46"/>
      <c r="S91" s="46"/>
      <c r="T91" s="46"/>
      <c r="U91" s="46"/>
    </row>
    <row r="92" spans="1:21">
      <c r="A92" s="338" t="s">
        <v>18</v>
      </c>
      <c r="B92" s="46" t="s">
        <v>18</v>
      </c>
      <c r="C92" s="46"/>
      <c r="D92" s="46"/>
      <c r="E92" s="46"/>
      <c r="F92" s="46"/>
      <c r="G92" s="46"/>
      <c r="H92" s="46"/>
      <c r="I92" s="46"/>
      <c r="J92" s="46"/>
      <c r="K92" s="46"/>
      <c r="L92" s="46"/>
      <c r="M92" s="46"/>
      <c r="N92" s="46"/>
      <c r="O92" s="46"/>
      <c r="P92" s="46"/>
      <c r="Q92" s="46"/>
      <c r="R92" s="46"/>
      <c r="S92" s="46"/>
      <c r="T92" s="46"/>
      <c r="U92" s="46"/>
    </row>
    <row r="93" spans="1:21">
      <c r="A93" s="335" t="s">
        <v>19</v>
      </c>
      <c r="B93" s="46"/>
      <c r="C93" s="46"/>
      <c r="D93" s="46"/>
      <c r="E93" s="46"/>
      <c r="F93" s="46"/>
      <c r="G93" s="46"/>
      <c r="H93" s="46"/>
      <c r="I93" s="46"/>
      <c r="J93" s="46"/>
      <c r="K93" s="46"/>
      <c r="L93" s="46"/>
      <c r="M93" s="46"/>
      <c r="N93" s="46"/>
      <c r="O93" s="46"/>
      <c r="P93" s="46"/>
      <c r="Q93" s="46"/>
      <c r="R93" s="46"/>
      <c r="S93" s="46"/>
      <c r="T93" s="46"/>
      <c r="U93" s="46"/>
    </row>
    <row r="94" spans="1:21">
      <c r="A94" s="335" t="s">
        <v>20</v>
      </c>
      <c r="B94" s="336" t="s">
        <v>21</v>
      </c>
      <c r="C94" s="336" t="s">
        <v>18</v>
      </c>
      <c r="D94" s="336" t="s">
        <v>22</v>
      </c>
      <c r="E94" s="336" t="s">
        <v>7</v>
      </c>
      <c r="F94" s="336" t="s">
        <v>13</v>
      </c>
      <c r="G94" s="336" t="s">
        <v>16</v>
      </c>
      <c r="H94" s="336" t="s">
        <v>23</v>
      </c>
      <c r="I94" s="336" t="s">
        <v>24</v>
      </c>
      <c r="J94" s="336" t="s">
        <v>25</v>
      </c>
      <c r="K94" s="336" t="s">
        <v>26</v>
      </c>
      <c r="L94" s="336" t="s">
        <v>27</v>
      </c>
      <c r="M94" s="336" t="s">
        <v>28</v>
      </c>
      <c r="N94" s="336" t="s">
        <v>11</v>
      </c>
      <c r="O94" s="46"/>
      <c r="P94" s="46"/>
      <c r="Q94" s="46"/>
      <c r="R94" s="46"/>
      <c r="S94" s="46"/>
      <c r="T94" s="46"/>
      <c r="U94" s="46"/>
    </row>
    <row r="95" spans="1:21">
      <c r="A95" s="32" t="s">
        <v>917</v>
      </c>
      <c r="B95" s="342">
        <v>1</v>
      </c>
      <c r="C95" s="46" t="s">
        <v>18</v>
      </c>
      <c r="D95" s="400" t="s">
        <v>2</v>
      </c>
      <c r="E95" s="46" t="s">
        <v>29</v>
      </c>
      <c r="F95" s="32" t="s">
        <v>14</v>
      </c>
      <c r="G95" s="46" t="s">
        <v>30</v>
      </c>
      <c r="H95" s="46">
        <v>1</v>
      </c>
      <c r="I95" s="46">
        <f t="shared" ref="I95:I96" si="7">B95</f>
        <v>1</v>
      </c>
      <c r="J95" s="46" t="s">
        <v>31</v>
      </c>
      <c r="K95" s="46" t="s">
        <v>31</v>
      </c>
      <c r="L95" s="46" t="s">
        <v>31</v>
      </c>
      <c r="M95" s="46" t="s">
        <v>31</v>
      </c>
      <c r="N95" s="46"/>
      <c r="O95" s="375"/>
      <c r="P95" s="432"/>
      <c r="Q95" s="46"/>
      <c r="R95" s="342"/>
      <c r="S95" s="46"/>
      <c r="T95" s="46"/>
      <c r="U95" s="46"/>
    </row>
    <row r="96" spans="1:21">
      <c r="A96" s="32" t="s">
        <v>920</v>
      </c>
      <c r="B96" s="46">
        <v>1</v>
      </c>
      <c r="C96" s="46" t="s">
        <v>18</v>
      </c>
      <c r="D96" s="400" t="s">
        <v>2</v>
      </c>
      <c r="E96" s="46" t="s">
        <v>29</v>
      </c>
      <c r="F96" s="32" t="s">
        <v>14</v>
      </c>
      <c r="G96" s="46" t="s">
        <v>33</v>
      </c>
      <c r="H96" s="46">
        <v>1</v>
      </c>
      <c r="I96" s="46">
        <f t="shared" si="7"/>
        <v>1</v>
      </c>
      <c r="J96" s="46" t="s">
        <v>31</v>
      </c>
      <c r="K96" s="46" t="s">
        <v>31</v>
      </c>
      <c r="L96" s="46" t="s">
        <v>31</v>
      </c>
      <c r="M96" s="46" t="s">
        <v>31</v>
      </c>
      <c r="N96" s="46"/>
      <c r="O96" s="375"/>
      <c r="P96" s="432"/>
      <c r="Q96" s="46"/>
      <c r="R96" s="46"/>
      <c r="S96" s="46"/>
      <c r="T96" s="46"/>
      <c r="U96" s="46"/>
    </row>
    <row r="97" spans="1:21">
      <c r="A97" s="338" t="s">
        <v>75</v>
      </c>
      <c r="B97" s="342">
        <f>R97</f>
        <v>0.05</v>
      </c>
      <c r="C97" s="46" t="s">
        <v>39</v>
      </c>
      <c r="D97" s="46" t="s">
        <v>40</v>
      </c>
      <c r="E97" s="46" t="s">
        <v>29</v>
      </c>
      <c r="F97" s="32" t="s">
        <v>35</v>
      </c>
      <c r="G97" s="46" t="s">
        <v>33</v>
      </c>
      <c r="H97" s="46">
        <v>2</v>
      </c>
      <c r="I97" s="46">
        <f t="shared" ref="I97" si="8">LN(B97)</f>
        <v>-2.9957322735539909</v>
      </c>
      <c r="J97" s="46">
        <v>7.2284161474004766E-2</v>
      </c>
      <c r="K97" s="46" t="s">
        <v>31</v>
      </c>
      <c r="L97" s="46" t="s">
        <v>31</v>
      </c>
      <c r="M97" s="46" t="s">
        <v>31</v>
      </c>
      <c r="N97" s="46"/>
      <c r="O97" s="375" t="s">
        <v>216</v>
      </c>
      <c r="P97" s="432">
        <v>0.05</v>
      </c>
      <c r="Q97" s="46" t="s">
        <v>216</v>
      </c>
      <c r="R97" s="342">
        <f>P97</f>
        <v>0.05</v>
      </c>
      <c r="S97" s="46"/>
      <c r="T97" s="46"/>
      <c r="U97" s="46"/>
    </row>
    <row r="98" spans="1:21" s="41" customFormat="1">
      <c r="A98" s="362" t="s">
        <v>5</v>
      </c>
      <c r="B98" s="397" t="s">
        <v>920</v>
      </c>
      <c r="C98" s="364"/>
      <c r="D98" s="345"/>
      <c r="E98" s="345"/>
      <c r="F98" s="345"/>
      <c r="G98" s="345"/>
      <c r="H98" s="345"/>
      <c r="I98" s="345"/>
      <c r="J98" s="345"/>
      <c r="K98" s="345"/>
      <c r="L98" s="345"/>
      <c r="M98" s="345"/>
      <c r="N98" s="345"/>
      <c r="O98" s="345"/>
      <c r="P98" s="345"/>
      <c r="Q98" s="345"/>
      <c r="R98" s="345"/>
      <c r="S98" s="345"/>
      <c r="T98" s="345"/>
      <c r="U98" s="345"/>
    </row>
    <row r="99" spans="1:21">
      <c r="A99" s="338" t="s">
        <v>7</v>
      </c>
      <c r="B99" s="46" t="s">
        <v>779</v>
      </c>
      <c r="C99" s="337"/>
      <c r="D99" s="46"/>
      <c r="E99" s="46"/>
      <c r="F99" s="46"/>
      <c r="G99" s="46"/>
      <c r="H99" s="46"/>
      <c r="I99" s="46"/>
      <c r="J99" s="46"/>
      <c r="K99" s="46"/>
      <c r="L99" s="46"/>
      <c r="M99" s="46"/>
      <c r="N99" s="46"/>
      <c r="O99" s="46"/>
      <c r="P99" s="46"/>
      <c r="Q99" s="46"/>
      <c r="R99" s="46"/>
      <c r="S99" s="46"/>
      <c r="T99" s="46"/>
      <c r="U99" s="46"/>
    </row>
    <row r="100" spans="1:21">
      <c r="A100" s="416" t="s">
        <v>9</v>
      </c>
      <c r="B100" s="46" t="s">
        <v>921</v>
      </c>
      <c r="C100" s="337"/>
      <c r="D100" s="46"/>
      <c r="E100" s="46"/>
      <c r="F100" s="46"/>
      <c r="G100" s="46"/>
      <c r="H100" s="46"/>
      <c r="I100" s="46"/>
      <c r="J100" s="46"/>
      <c r="K100" s="46"/>
      <c r="L100" s="46"/>
      <c r="M100" s="46"/>
      <c r="N100" s="46"/>
      <c r="O100" s="46"/>
      <c r="P100" s="46"/>
      <c r="Q100" s="46"/>
      <c r="R100" s="46"/>
      <c r="S100" s="46"/>
      <c r="T100" s="46"/>
      <c r="U100" s="46"/>
    </row>
    <row r="101" spans="1:21" ht="15.75" customHeight="1">
      <c r="A101" s="338" t="s">
        <v>11</v>
      </c>
      <c r="B101" s="339" t="s">
        <v>789</v>
      </c>
      <c r="C101" s="46"/>
      <c r="D101" s="46"/>
      <c r="E101" s="46"/>
      <c r="F101" s="46"/>
      <c r="G101" s="46"/>
      <c r="H101" s="46"/>
      <c r="I101" s="46"/>
      <c r="J101" s="46"/>
      <c r="K101" s="46"/>
      <c r="L101" s="46"/>
      <c r="M101" s="46"/>
      <c r="N101" s="46"/>
      <c r="O101" s="46"/>
      <c r="P101" s="46"/>
      <c r="Q101" s="46"/>
      <c r="R101" s="46"/>
      <c r="S101" s="46"/>
      <c r="T101" s="46"/>
      <c r="U101" s="46"/>
    </row>
    <row r="102" spans="1:21">
      <c r="A102" s="338" t="s">
        <v>13</v>
      </c>
      <c r="B102" s="46" t="s">
        <v>14</v>
      </c>
      <c r="C102" s="46"/>
      <c r="D102" s="46"/>
      <c r="E102" s="46"/>
      <c r="F102" s="46"/>
      <c r="G102" s="46"/>
      <c r="H102" s="46"/>
      <c r="I102" s="46"/>
      <c r="J102" s="46"/>
      <c r="K102" s="46"/>
      <c r="L102" s="46"/>
      <c r="M102" s="46"/>
      <c r="N102" s="46"/>
      <c r="O102" s="46"/>
      <c r="P102" s="46"/>
      <c r="Q102" s="46"/>
      <c r="R102" s="46"/>
      <c r="S102" s="46"/>
      <c r="T102" s="46"/>
      <c r="U102" s="46"/>
    </row>
    <row r="103" spans="1:21">
      <c r="A103" s="338" t="s">
        <v>15</v>
      </c>
      <c r="B103" s="46">
        <v>1</v>
      </c>
      <c r="C103" s="46"/>
      <c r="D103" s="46"/>
      <c r="E103" s="46"/>
      <c r="F103" s="46"/>
      <c r="G103" s="46"/>
      <c r="H103" s="46"/>
      <c r="I103" s="46"/>
      <c r="J103" s="46"/>
      <c r="K103" s="46"/>
      <c r="L103" s="46"/>
      <c r="M103" s="46"/>
      <c r="N103" s="46"/>
      <c r="O103" s="46"/>
      <c r="P103" s="46"/>
      <c r="Q103" s="46"/>
      <c r="R103" s="46"/>
      <c r="S103" s="46"/>
      <c r="T103" s="46"/>
      <c r="U103" s="46"/>
    </row>
    <row r="104" spans="1:21">
      <c r="A104" s="338" t="s">
        <v>16</v>
      </c>
      <c r="B104" s="46" t="s">
        <v>17</v>
      </c>
      <c r="C104" s="46"/>
      <c r="D104" s="46"/>
      <c r="E104" s="46"/>
      <c r="F104" s="46"/>
      <c r="G104" s="46"/>
      <c r="H104" s="46"/>
      <c r="I104" s="46"/>
      <c r="J104" s="46"/>
      <c r="K104" s="46"/>
      <c r="L104" s="46"/>
      <c r="M104" s="46"/>
      <c r="N104" s="46"/>
      <c r="O104" s="46"/>
      <c r="P104" s="46"/>
      <c r="Q104" s="46"/>
      <c r="R104" s="46"/>
      <c r="S104" s="46"/>
      <c r="T104" s="46"/>
      <c r="U104" s="46"/>
    </row>
    <row r="105" spans="1:21">
      <c r="A105" s="338" t="s">
        <v>18</v>
      </c>
      <c r="B105" s="46" t="s">
        <v>18</v>
      </c>
      <c r="C105" s="46"/>
      <c r="D105" s="46"/>
      <c r="E105" s="46"/>
      <c r="F105" s="46"/>
      <c r="G105" s="46"/>
      <c r="H105" s="46"/>
      <c r="I105" s="46"/>
      <c r="J105" s="46"/>
      <c r="K105" s="46"/>
      <c r="L105" s="46"/>
      <c r="M105" s="46"/>
      <c r="N105" s="46"/>
      <c r="O105" s="46"/>
      <c r="P105" s="46"/>
      <c r="Q105" s="46"/>
      <c r="R105" s="46"/>
      <c r="S105" s="46"/>
      <c r="T105" s="46"/>
      <c r="U105" s="46"/>
    </row>
    <row r="106" spans="1:21">
      <c r="A106" s="335" t="s">
        <v>19</v>
      </c>
      <c r="B106" s="46"/>
      <c r="C106" s="46"/>
      <c r="D106" s="46"/>
      <c r="E106" s="46"/>
      <c r="F106" s="46"/>
      <c r="G106" s="46"/>
      <c r="H106" s="46"/>
      <c r="I106" s="46"/>
      <c r="J106" s="46"/>
      <c r="K106" s="46"/>
      <c r="L106" s="46"/>
      <c r="M106" s="46"/>
      <c r="N106" s="46"/>
      <c r="O106" s="46"/>
      <c r="P106" s="46"/>
      <c r="Q106" s="46"/>
      <c r="R106" s="46"/>
      <c r="S106" s="46"/>
      <c r="T106" s="46"/>
      <c r="U106" s="46"/>
    </row>
    <row r="107" spans="1:21">
      <c r="A107" s="335" t="s">
        <v>20</v>
      </c>
      <c r="B107" s="336" t="s">
        <v>21</v>
      </c>
      <c r="C107" s="336" t="s">
        <v>18</v>
      </c>
      <c r="D107" s="336" t="s">
        <v>22</v>
      </c>
      <c r="E107" s="336" t="s">
        <v>7</v>
      </c>
      <c r="F107" s="336" t="s">
        <v>13</v>
      </c>
      <c r="G107" s="336" t="s">
        <v>16</v>
      </c>
      <c r="H107" s="336" t="s">
        <v>23</v>
      </c>
      <c r="I107" s="336" t="s">
        <v>24</v>
      </c>
      <c r="J107" s="336" t="s">
        <v>25</v>
      </c>
      <c r="K107" s="336" t="s">
        <v>26</v>
      </c>
      <c r="L107" s="336" t="s">
        <v>27</v>
      </c>
      <c r="M107" s="336" t="s">
        <v>28</v>
      </c>
      <c r="N107" s="336" t="s">
        <v>11</v>
      </c>
      <c r="O107" s="46"/>
      <c r="P107" s="46"/>
      <c r="Q107" s="46"/>
      <c r="R107" s="46"/>
      <c r="S107" s="46"/>
      <c r="T107" s="46"/>
      <c r="U107" s="46"/>
    </row>
    <row r="108" spans="1:21">
      <c r="A108" s="32" t="s">
        <v>920</v>
      </c>
      <c r="B108" s="46">
        <v>1</v>
      </c>
      <c r="C108" s="46" t="s">
        <v>18</v>
      </c>
      <c r="D108" s="400" t="s">
        <v>2</v>
      </c>
      <c r="E108" s="46" t="s">
        <v>29</v>
      </c>
      <c r="F108" s="32" t="s">
        <v>14</v>
      </c>
      <c r="G108" s="46" t="s">
        <v>30</v>
      </c>
      <c r="H108" s="46">
        <v>1</v>
      </c>
      <c r="I108" s="46">
        <f t="shared" ref="I108:I111" si="9">B108</f>
        <v>1</v>
      </c>
      <c r="J108" s="46" t="s">
        <v>31</v>
      </c>
      <c r="K108" s="46" t="s">
        <v>31</v>
      </c>
      <c r="L108" s="46" t="s">
        <v>31</v>
      </c>
      <c r="M108" s="46" t="s">
        <v>31</v>
      </c>
      <c r="N108" s="46"/>
      <c r="O108" s="46"/>
      <c r="P108" s="46"/>
      <c r="Q108" s="46"/>
      <c r="R108" s="46"/>
      <c r="S108" s="46"/>
      <c r="T108" s="46"/>
      <c r="U108" s="46"/>
    </row>
    <row r="109" spans="1:21">
      <c r="A109" s="338" t="s">
        <v>922</v>
      </c>
      <c r="B109" s="433">
        <f>B133</f>
        <v>0.02</v>
      </c>
      <c r="C109" s="46" t="s">
        <v>113</v>
      </c>
      <c r="D109" s="400" t="s">
        <v>2</v>
      </c>
      <c r="E109" s="46" t="s">
        <v>29</v>
      </c>
      <c r="F109" s="32" t="s">
        <v>14</v>
      </c>
      <c r="G109" s="46" t="s">
        <v>33</v>
      </c>
      <c r="H109" s="46">
        <v>1</v>
      </c>
      <c r="I109" s="46">
        <f t="shared" si="9"/>
        <v>0.02</v>
      </c>
      <c r="J109" s="46" t="s">
        <v>31</v>
      </c>
      <c r="K109" s="46" t="s">
        <v>31</v>
      </c>
      <c r="L109" s="46" t="s">
        <v>31</v>
      </c>
      <c r="M109" s="46" t="s">
        <v>31</v>
      </c>
      <c r="N109" s="46"/>
      <c r="O109" s="401"/>
      <c r="P109" s="402"/>
      <c r="Q109" s="342"/>
      <c r="R109" s="46"/>
      <c r="S109" s="46"/>
      <c r="T109" s="46"/>
      <c r="U109" s="46"/>
    </row>
    <row r="110" spans="1:21">
      <c r="A110" s="46" t="s">
        <v>831</v>
      </c>
      <c r="B110" s="384">
        <f>U110</f>
        <v>1.2000000000000001E-3</v>
      </c>
      <c r="C110" s="373" t="s">
        <v>113</v>
      </c>
      <c r="D110" s="400" t="s">
        <v>2</v>
      </c>
      <c r="E110" s="46" t="s">
        <v>29</v>
      </c>
      <c r="F110" s="32" t="s">
        <v>14</v>
      </c>
      <c r="G110" s="46" t="s">
        <v>33</v>
      </c>
      <c r="H110" s="46">
        <v>1</v>
      </c>
      <c r="I110" s="46">
        <f t="shared" si="9"/>
        <v>1.2000000000000001E-3</v>
      </c>
      <c r="J110" s="46" t="s">
        <v>31</v>
      </c>
      <c r="K110" s="46" t="s">
        <v>31</v>
      </c>
      <c r="L110" s="46" t="s">
        <v>31</v>
      </c>
      <c r="M110" s="46" t="s">
        <v>31</v>
      </c>
      <c r="N110" s="46"/>
      <c r="O110" s="434" t="s">
        <v>575</v>
      </c>
      <c r="P110" s="435">
        <v>6</v>
      </c>
      <c r="Q110" s="436" t="s">
        <v>923</v>
      </c>
      <c r="R110" s="436">
        <f>'2A. Reusable'!O37</f>
        <v>0.2</v>
      </c>
      <c r="S110" s="436" t="s">
        <v>832</v>
      </c>
      <c r="T110" s="434" t="s">
        <v>605</v>
      </c>
      <c r="U110" s="435">
        <f>(P110*0.001)*R110</f>
        <v>1.2000000000000001E-3</v>
      </c>
    </row>
    <row r="111" spans="1:21">
      <c r="A111" s="46" t="s">
        <v>924</v>
      </c>
      <c r="B111" s="46">
        <v>1</v>
      </c>
      <c r="C111" s="46" t="s">
        <v>18</v>
      </c>
      <c r="D111" s="400" t="s">
        <v>2</v>
      </c>
      <c r="E111" s="46" t="s">
        <v>29</v>
      </c>
      <c r="F111" s="32" t="s">
        <v>14</v>
      </c>
      <c r="G111" s="46" t="s">
        <v>33</v>
      </c>
      <c r="H111" s="46">
        <v>1</v>
      </c>
      <c r="I111" s="46">
        <f t="shared" si="9"/>
        <v>1</v>
      </c>
      <c r="J111" s="46" t="s">
        <v>31</v>
      </c>
      <c r="K111" s="46" t="s">
        <v>31</v>
      </c>
      <c r="L111" s="46" t="s">
        <v>31</v>
      </c>
      <c r="M111" s="46" t="s">
        <v>31</v>
      </c>
      <c r="N111" s="46"/>
      <c r="O111" s="401"/>
      <c r="P111" s="402"/>
      <c r="Q111" s="46"/>
      <c r="R111" s="46"/>
      <c r="S111" s="46"/>
      <c r="T111" s="46"/>
      <c r="U111" s="46"/>
    </row>
    <row r="112" spans="1:21">
      <c r="A112" s="32" t="s">
        <v>601</v>
      </c>
      <c r="B112" s="384">
        <f>R112</f>
        <v>8.7000000000000001E-5</v>
      </c>
      <c r="C112" s="46" t="s">
        <v>37</v>
      </c>
      <c r="D112" s="46" t="s">
        <v>40</v>
      </c>
      <c r="E112" s="46" t="s">
        <v>29</v>
      </c>
      <c r="F112" s="32" t="s">
        <v>35</v>
      </c>
      <c r="G112" s="46" t="s">
        <v>33</v>
      </c>
      <c r="H112" s="46">
        <v>2</v>
      </c>
      <c r="I112" s="46">
        <f>LN(B112)</f>
        <v>-9.3496024393096899</v>
      </c>
      <c r="J112" s="46">
        <v>2.8722813232690055E-2</v>
      </c>
      <c r="K112" s="46" t="s">
        <v>31</v>
      </c>
      <c r="L112" s="46" t="s">
        <v>31</v>
      </c>
      <c r="M112" s="46" t="s">
        <v>31</v>
      </c>
      <c r="N112" s="46"/>
      <c r="O112" s="434" t="s">
        <v>575</v>
      </c>
      <c r="P112" s="175">
        <v>8.6999999999999994E-2</v>
      </c>
      <c r="Q112" s="46" t="s">
        <v>221</v>
      </c>
      <c r="R112" s="384">
        <f>P112*10^-3</f>
        <v>8.7000000000000001E-5</v>
      </c>
      <c r="S112" s="46"/>
      <c r="T112" s="46"/>
      <c r="U112" s="46"/>
    </row>
    <row r="113" spans="1:21" s="41" customFormat="1">
      <c r="A113" s="362" t="s">
        <v>5</v>
      </c>
      <c r="B113" s="363" t="s">
        <v>924</v>
      </c>
      <c r="C113" s="364"/>
      <c r="D113" s="345"/>
      <c r="E113" s="345"/>
      <c r="F113" s="345"/>
      <c r="G113" s="345"/>
      <c r="H113" s="345"/>
      <c r="I113" s="345"/>
      <c r="J113" s="345"/>
      <c r="K113" s="345"/>
      <c r="L113" s="345"/>
      <c r="M113" s="345"/>
      <c r="N113" s="345"/>
      <c r="O113" s="345"/>
      <c r="P113" s="345"/>
      <c r="Q113" s="345"/>
      <c r="R113" s="345"/>
      <c r="S113" s="345"/>
      <c r="T113" s="345"/>
      <c r="U113" s="345"/>
    </row>
    <row r="114" spans="1:21">
      <c r="A114" s="338" t="s">
        <v>7</v>
      </c>
      <c r="B114" s="46" t="s">
        <v>779</v>
      </c>
      <c r="C114" s="337"/>
      <c r="D114" s="46"/>
      <c r="E114" s="46"/>
      <c r="F114" s="46"/>
      <c r="G114" s="46"/>
      <c r="H114" s="46"/>
      <c r="I114" s="46"/>
      <c r="J114" s="46"/>
      <c r="K114" s="46"/>
      <c r="L114" s="46"/>
      <c r="M114" s="46"/>
      <c r="N114" s="46"/>
      <c r="O114" s="46"/>
      <c r="P114" s="46"/>
      <c r="Q114" s="46"/>
      <c r="R114" s="46"/>
      <c r="S114" s="46"/>
      <c r="T114" s="46"/>
      <c r="U114" s="46"/>
    </row>
    <row r="115" spans="1:21">
      <c r="A115" s="416" t="s">
        <v>9</v>
      </c>
      <c r="B115" s="46" t="s">
        <v>925</v>
      </c>
      <c r="C115" s="337"/>
      <c r="D115" s="46"/>
      <c r="E115" s="46"/>
      <c r="F115" s="46"/>
      <c r="G115" s="46"/>
      <c r="H115" s="46"/>
      <c r="I115" s="46"/>
      <c r="J115" s="46"/>
      <c r="K115" s="46"/>
      <c r="L115" s="46"/>
      <c r="M115" s="46"/>
      <c r="N115" s="46"/>
      <c r="O115" s="46"/>
      <c r="P115" s="46"/>
      <c r="Q115" s="46"/>
      <c r="R115" s="46"/>
      <c r="S115" s="46"/>
      <c r="T115" s="46"/>
      <c r="U115" s="46"/>
    </row>
    <row r="116" spans="1:21" ht="15.75" customHeight="1">
      <c r="A116" s="338" t="s">
        <v>11</v>
      </c>
      <c r="B116" s="339" t="s">
        <v>789</v>
      </c>
      <c r="C116" s="46"/>
      <c r="D116" s="46"/>
      <c r="E116" s="46"/>
      <c r="F116" s="46"/>
      <c r="G116" s="46"/>
      <c r="H116" s="46"/>
      <c r="I116" s="46"/>
      <c r="J116" s="46"/>
      <c r="K116" s="46"/>
      <c r="L116" s="46"/>
      <c r="M116" s="46"/>
      <c r="N116" s="46"/>
      <c r="O116" s="46"/>
      <c r="P116" s="46"/>
      <c r="Q116" s="46"/>
      <c r="R116" s="46"/>
      <c r="S116" s="46"/>
      <c r="T116" s="46"/>
      <c r="U116" s="46"/>
    </row>
    <row r="117" spans="1:21">
      <c r="A117" s="338" t="s">
        <v>13</v>
      </c>
      <c r="B117" s="46" t="s">
        <v>14</v>
      </c>
      <c r="C117" s="46"/>
      <c r="D117" s="46"/>
      <c r="E117" s="46"/>
      <c r="F117" s="46"/>
      <c r="G117" s="46"/>
      <c r="H117" s="46"/>
      <c r="I117" s="46"/>
      <c r="J117" s="46"/>
      <c r="K117" s="46"/>
      <c r="L117" s="46"/>
      <c r="M117" s="46"/>
      <c r="N117" s="46"/>
      <c r="O117" s="46"/>
      <c r="P117" s="46"/>
      <c r="Q117" s="46"/>
      <c r="R117" s="46"/>
      <c r="S117" s="46"/>
      <c r="T117" s="46"/>
      <c r="U117" s="46"/>
    </row>
    <row r="118" spans="1:21">
      <c r="A118" s="338" t="s">
        <v>15</v>
      </c>
      <c r="B118" s="46">
        <v>1</v>
      </c>
      <c r="C118" s="46"/>
      <c r="D118" s="46"/>
      <c r="E118" s="46"/>
      <c r="F118" s="46"/>
      <c r="G118" s="46"/>
      <c r="H118" s="46"/>
      <c r="I118" s="46"/>
      <c r="J118" s="46"/>
      <c r="K118" s="46"/>
      <c r="L118" s="46"/>
      <c r="M118" s="46"/>
      <c r="N118" s="46"/>
      <c r="O118" s="46"/>
      <c r="P118" s="46"/>
      <c r="Q118" s="46"/>
      <c r="R118" s="46"/>
      <c r="S118" s="46"/>
      <c r="T118" s="46"/>
      <c r="U118" s="46"/>
    </row>
    <row r="119" spans="1:21">
      <c r="A119" s="338" t="s">
        <v>16</v>
      </c>
      <c r="B119" s="46" t="s">
        <v>17</v>
      </c>
      <c r="C119" s="46"/>
      <c r="D119" s="46"/>
      <c r="E119" s="46"/>
      <c r="F119" s="46"/>
      <c r="G119" s="46"/>
      <c r="H119" s="46"/>
      <c r="I119" s="46"/>
      <c r="J119" s="46"/>
      <c r="K119" s="46"/>
      <c r="L119" s="46"/>
      <c r="M119" s="46"/>
      <c r="N119" s="46"/>
      <c r="O119" s="46"/>
      <c r="P119" s="46"/>
      <c r="Q119" s="46"/>
      <c r="R119" s="46"/>
      <c r="S119" s="46"/>
      <c r="T119" s="46"/>
      <c r="U119" s="46"/>
    </row>
    <row r="120" spans="1:21">
      <c r="A120" s="338" t="s">
        <v>18</v>
      </c>
      <c r="B120" s="46" t="s">
        <v>18</v>
      </c>
      <c r="C120" s="46"/>
      <c r="D120" s="46"/>
      <c r="E120" s="46"/>
      <c r="F120" s="46"/>
      <c r="G120" s="46"/>
      <c r="H120" s="46"/>
      <c r="I120" s="46"/>
      <c r="J120" s="46"/>
      <c r="K120" s="46"/>
      <c r="L120" s="46"/>
      <c r="M120" s="46"/>
      <c r="N120" s="46"/>
      <c r="O120" s="46"/>
      <c r="P120" s="46"/>
      <c r="Q120" s="46"/>
      <c r="R120" s="46"/>
      <c r="S120" s="46"/>
      <c r="T120" s="46"/>
      <c r="U120" s="46"/>
    </row>
    <row r="121" spans="1:21">
      <c r="A121" s="335" t="s">
        <v>19</v>
      </c>
      <c r="B121" s="46"/>
      <c r="C121" s="46"/>
      <c r="D121" s="46"/>
      <c r="E121" s="46"/>
      <c r="F121" s="46"/>
      <c r="G121" s="46"/>
      <c r="H121" s="46"/>
      <c r="I121" s="46"/>
      <c r="J121" s="46"/>
      <c r="K121" s="46"/>
      <c r="L121" s="46"/>
      <c r="M121" s="46"/>
      <c r="N121" s="46"/>
      <c r="O121" s="46"/>
      <c r="P121" s="46"/>
      <c r="Q121" s="46"/>
      <c r="R121" s="46"/>
      <c r="S121" s="46"/>
      <c r="T121" s="46"/>
      <c r="U121" s="46"/>
    </row>
    <row r="122" spans="1:21">
      <c r="A122" s="335" t="s">
        <v>20</v>
      </c>
      <c r="B122" s="336" t="s">
        <v>21</v>
      </c>
      <c r="C122" s="336" t="s">
        <v>18</v>
      </c>
      <c r="D122" s="336" t="s">
        <v>22</v>
      </c>
      <c r="E122" s="336" t="s">
        <v>7</v>
      </c>
      <c r="F122" s="336" t="s">
        <v>13</v>
      </c>
      <c r="G122" s="336" t="s">
        <v>16</v>
      </c>
      <c r="H122" s="336" t="s">
        <v>23</v>
      </c>
      <c r="I122" s="336" t="s">
        <v>24</v>
      </c>
      <c r="J122" s="336" t="s">
        <v>25</v>
      </c>
      <c r="K122" s="336" t="s">
        <v>26</v>
      </c>
      <c r="L122" s="336" t="s">
        <v>27</v>
      </c>
      <c r="M122" s="336" t="s">
        <v>28</v>
      </c>
      <c r="N122" s="336" t="s">
        <v>11</v>
      </c>
      <c r="O122" s="46"/>
      <c r="P122" s="46"/>
      <c r="Q122" s="46"/>
      <c r="R122" s="46"/>
      <c r="S122" s="46"/>
      <c r="T122" s="46"/>
      <c r="U122" s="46"/>
    </row>
    <row r="123" spans="1:21">
      <c r="A123" s="46" t="s">
        <v>924</v>
      </c>
      <c r="B123" s="46">
        <v>1</v>
      </c>
      <c r="C123" s="46" t="s">
        <v>18</v>
      </c>
      <c r="D123" s="400" t="s">
        <v>2</v>
      </c>
      <c r="E123" s="46" t="s">
        <v>29</v>
      </c>
      <c r="F123" s="32" t="s">
        <v>14</v>
      </c>
      <c r="G123" s="46" t="s">
        <v>30</v>
      </c>
      <c r="H123" s="46">
        <v>1</v>
      </c>
      <c r="I123" s="46">
        <f t="shared" ref="I123:I124" si="10">B123</f>
        <v>1</v>
      </c>
      <c r="J123" s="46" t="s">
        <v>31</v>
      </c>
      <c r="K123" s="46" t="s">
        <v>31</v>
      </c>
      <c r="L123" s="46" t="s">
        <v>31</v>
      </c>
      <c r="M123" s="46" t="s">
        <v>31</v>
      </c>
      <c r="N123" s="46"/>
      <c r="O123" s="46"/>
      <c r="P123" s="46"/>
      <c r="Q123" s="46"/>
      <c r="R123" s="46"/>
      <c r="S123" s="46"/>
      <c r="T123" s="46"/>
      <c r="U123" s="46"/>
    </row>
    <row r="124" spans="1:21">
      <c r="A124" s="32" t="s">
        <v>610</v>
      </c>
      <c r="B124" s="46">
        <v>0.17</v>
      </c>
      <c r="C124" s="46" t="s">
        <v>37</v>
      </c>
      <c r="D124" s="46" t="s">
        <v>40</v>
      </c>
      <c r="E124" s="46" t="s">
        <v>29</v>
      </c>
      <c r="F124" s="46" t="s">
        <v>58</v>
      </c>
      <c r="G124" s="46" t="s">
        <v>33</v>
      </c>
      <c r="H124" s="46">
        <v>1</v>
      </c>
      <c r="I124" s="46">
        <f t="shared" si="10"/>
        <v>0.17</v>
      </c>
      <c r="J124" s="46" t="s">
        <v>31</v>
      </c>
      <c r="K124" s="46" t="s">
        <v>31</v>
      </c>
      <c r="L124" s="46" t="s">
        <v>31</v>
      </c>
      <c r="M124" s="46" t="s">
        <v>31</v>
      </c>
      <c r="N124" s="46"/>
      <c r="O124" s="46"/>
      <c r="P124" s="46"/>
      <c r="Q124" s="46"/>
      <c r="R124" s="46"/>
      <c r="S124" s="46"/>
      <c r="T124" s="46"/>
      <c r="U124" s="46"/>
    </row>
    <row r="125" spans="1:21">
      <c r="A125" s="32" t="s">
        <v>908</v>
      </c>
      <c r="B125" s="46">
        <f>R125</f>
        <v>0.112</v>
      </c>
      <c r="C125" s="46" t="s">
        <v>37</v>
      </c>
      <c r="D125" s="46" t="s">
        <v>40</v>
      </c>
      <c r="E125" s="46" t="s">
        <v>29</v>
      </c>
      <c r="F125" s="46" t="s">
        <v>58</v>
      </c>
      <c r="G125" s="46" t="s">
        <v>33</v>
      </c>
      <c r="H125" s="46">
        <v>2</v>
      </c>
      <c r="I125" s="46">
        <f>LN(B125)</f>
        <v>-2.1892564076870427</v>
      </c>
      <c r="J125" s="46">
        <v>3.7749172176353707E-2</v>
      </c>
      <c r="K125" s="46" t="s">
        <v>31</v>
      </c>
      <c r="L125" s="46" t="s">
        <v>31</v>
      </c>
      <c r="M125" s="46" t="s">
        <v>31</v>
      </c>
      <c r="N125" s="46"/>
      <c r="O125" s="393" t="s">
        <v>575</v>
      </c>
      <c r="P125" s="120">
        <v>112</v>
      </c>
      <c r="Q125" s="46" t="s">
        <v>221</v>
      </c>
      <c r="R125" s="46">
        <f>P125*0.001</f>
        <v>0.112</v>
      </c>
      <c r="S125" s="46"/>
      <c r="T125" s="46"/>
      <c r="U125" s="46"/>
    </row>
    <row r="126" spans="1:21">
      <c r="A126" s="32" t="s">
        <v>909</v>
      </c>
      <c r="B126" s="46">
        <f>R126</f>
        <v>6.7000000000000002E-3</v>
      </c>
      <c r="C126" s="46" t="s">
        <v>37</v>
      </c>
      <c r="D126" s="46" t="s">
        <v>40</v>
      </c>
      <c r="E126" s="46" t="s">
        <v>29</v>
      </c>
      <c r="F126" s="46" t="s">
        <v>58</v>
      </c>
      <c r="G126" s="46" t="s">
        <v>33</v>
      </c>
      <c r="H126" s="46">
        <v>2</v>
      </c>
      <c r="I126" s="46">
        <f>LN(B126)</f>
        <v>-5.005647752585217</v>
      </c>
      <c r="J126" s="46">
        <v>3.7749172176353707E-2</v>
      </c>
      <c r="K126" s="46" t="s">
        <v>31</v>
      </c>
      <c r="L126" s="46" t="s">
        <v>31</v>
      </c>
      <c r="M126" s="46" t="s">
        <v>31</v>
      </c>
      <c r="N126" s="46"/>
      <c r="O126" s="393" t="s">
        <v>575</v>
      </c>
      <c r="P126" s="120">
        <v>6.7</v>
      </c>
      <c r="Q126" s="46" t="s">
        <v>221</v>
      </c>
      <c r="R126" s="46">
        <f t="shared" ref="R126:R127" si="11">P126*0.001</f>
        <v>6.7000000000000002E-3</v>
      </c>
      <c r="S126" s="46"/>
      <c r="T126" s="46"/>
      <c r="U126" s="46"/>
    </row>
    <row r="127" spans="1:21">
      <c r="A127" s="32" t="s">
        <v>910</v>
      </c>
      <c r="B127" s="46">
        <f>R127</f>
        <v>5.1000000000000004E-2</v>
      </c>
      <c r="C127" s="46" t="s">
        <v>37</v>
      </c>
      <c r="D127" s="46" t="s">
        <v>40</v>
      </c>
      <c r="E127" s="46" t="s">
        <v>29</v>
      </c>
      <c r="F127" s="46" t="s">
        <v>58</v>
      </c>
      <c r="G127" s="46" t="s">
        <v>33</v>
      </c>
      <c r="H127" s="46">
        <v>2</v>
      </c>
      <c r="I127" s="46">
        <f>LN(B127)</f>
        <v>-2.9759296462578111</v>
      </c>
      <c r="J127" s="46">
        <v>3.7749172176353707E-2</v>
      </c>
      <c r="K127" s="46" t="s">
        <v>31</v>
      </c>
      <c r="L127" s="46" t="s">
        <v>31</v>
      </c>
      <c r="M127" s="46" t="s">
        <v>31</v>
      </c>
      <c r="N127" s="46"/>
      <c r="O127" s="393" t="s">
        <v>575</v>
      </c>
      <c r="P127" s="120">
        <v>51</v>
      </c>
      <c r="Q127" s="46" t="s">
        <v>221</v>
      </c>
      <c r="R127" s="46">
        <f t="shared" si="11"/>
        <v>5.1000000000000004E-2</v>
      </c>
      <c r="S127" s="46"/>
      <c r="T127" s="46"/>
      <c r="U127" s="46"/>
    </row>
    <row r="128" spans="1:21" s="41" customFormat="1">
      <c r="A128" s="362" t="s">
        <v>5</v>
      </c>
      <c r="B128" s="397" t="s">
        <v>922</v>
      </c>
      <c r="C128" s="364"/>
      <c r="D128" s="345"/>
      <c r="E128" s="345"/>
      <c r="F128" s="345"/>
      <c r="G128" s="345"/>
      <c r="H128" s="345"/>
      <c r="I128" s="345"/>
      <c r="J128" s="345"/>
      <c r="K128" s="345"/>
      <c r="L128" s="345"/>
      <c r="M128" s="345"/>
      <c r="N128" s="345"/>
      <c r="O128" s="345"/>
      <c r="P128" s="345"/>
      <c r="Q128" s="345"/>
      <c r="R128" s="345"/>
      <c r="S128" s="345"/>
      <c r="T128" s="345"/>
      <c r="U128" s="345"/>
    </row>
    <row r="129" spans="1:21">
      <c r="A129" s="338" t="s">
        <v>7</v>
      </c>
      <c r="B129" s="46" t="s">
        <v>779</v>
      </c>
      <c r="C129" s="337"/>
      <c r="D129" s="46"/>
      <c r="E129" s="46"/>
      <c r="F129" s="46"/>
      <c r="G129" s="46"/>
      <c r="H129" s="46"/>
      <c r="I129" s="46"/>
      <c r="J129" s="46"/>
      <c r="K129" s="46"/>
      <c r="L129" s="46"/>
      <c r="M129" s="46"/>
      <c r="N129" s="46"/>
      <c r="O129" s="46"/>
      <c r="P129" s="46"/>
      <c r="Q129" s="46"/>
      <c r="R129" s="46"/>
      <c r="S129" s="46"/>
      <c r="T129" s="46"/>
      <c r="U129" s="46"/>
    </row>
    <row r="130" spans="1:21">
      <c r="A130" s="416" t="s">
        <v>9</v>
      </c>
      <c r="B130" s="46" t="s">
        <v>926</v>
      </c>
      <c r="C130" s="337"/>
      <c r="D130" s="46"/>
      <c r="E130" s="46"/>
      <c r="F130" s="46"/>
      <c r="G130" s="46"/>
      <c r="H130" s="46"/>
      <c r="I130" s="46"/>
      <c r="J130" s="46"/>
      <c r="K130" s="46"/>
      <c r="L130" s="46"/>
      <c r="M130" s="46"/>
      <c r="N130" s="46"/>
      <c r="O130" s="46"/>
      <c r="P130" s="46"/>
      <c r="Q130" s="46"/>
      <c r="R130" s="46"/>
      <c r="S130" s="46"/>
      <c r="T130" s="46"/>
      <c r="U130" s="46"/>
    </row>
    <row r="131" spans="1:21" ht="15.75" customHeight="1">
      <c r="A131" s="338" t="s">
        <v>11</v>
      </c>
      <c r="B131" s="339" t="s">
        <v>789</v>
      </c>
      <c r="C131" s="46"/>
      <c r="D131" s="46"/>
      <c r="E131" s="46"/>
      <c r="F131" s="46"/>
      <c r="G131" s="46"/>
      <c r="H131" s="46"/>
      <c r="I131" s="46"/>
      <c r="J131" s="46"/>
      <c r="K131" s="46"/>
      <c r="L131" s="46"/>
      <c r="M131" s="46"/>
      <c r="N131" s="46"/>
      <c r="O131" s="46"/>
      <c r="P131" s="46"/>
      <c r="Q131" s="46"/>
      <c r="R131" s="46"/>
      <c r="S131" s="46"/>
      <c r="T131" s="46"/>
      <c r="U131" s="46"/>
    </row>
    <row r="132" spans="1:21">
      <c r="A132" s="338" t="s">
        <v>13</v>
      </c>
      <c r="B132" s="46" t="s">
        <v>14</v>
      </c>
      <c r="C132" s="46"/>
      <c r="D132" s="46"/>
      <c r="E132" s="46"/>
      <c r="F132" s="46"/>
      <c r="G132" s="46"/>
      <c r="H132" s="46"/>
      <c r="I132" s="46"/>
      <c r="J132" s="46"/>
      <c r="K132" s="46"/>
      <c r="L132" s="46"/>
      <c r="M132" s="46"/>
      <c r="N132" s="46"/>
      <c r="O132" s="46"/>
      <c r="P132" s="46"/>
      <c r="Q132" s="46"/>
      <c r="R132" s="46"/>
      <c r="S132" s="46"/>
      <c r="T132" s="46"/>
      <c r="U132" s="46"/>
    </row>
    <row r="133" spans="1:21">
      <c r="A133" s="338" t="s">
        <v>15</v>
      </c>
      <c r="B133" s="417">
        <f>B138</f>
        <v>0.02</v>
      </c>
      <c r="C133" s="46"/>
      <c r="D133" s="46"/>
      <c r="E133" s="46"/>
      <c r="F133" s="46"/>
      <c r="G133" s="46"/>
      <c r="H133" s="46"/>
      <c r="I133" s="46"/>
      <c r="J133" s="46"/>
      <c r="K133" s="46"/>
      <c r="L133" s="46"/>
      <c r="M133" s="46"/>
      <c r="N133" s="46"/>
      <c r="O133" s="46"/>
      <c r="P133" s="46"/>
      <c r="Q133" s="46"/>
      <c r="R133" s="46"/>
      <c r="S133" s="46"/>
      <c r="T133" s="46"/>
      <c r="U133" s="46"/>
    </row>
    <row r="134" spans="1:21">
      <c r="A134" s="338" t="s">
        <v>16</v>
      </c>
      <c r="B134" s="46" t="s">
        <v>17</v>
      </c>
      <c r="C134" s="46"/>
      <c r="D134" s="46"/>
      <c r="E134" s="46"/>
      <c r="F134" s="46"/>
      <c r="G134" s="46"/>
      <c r="H134" s="46"/>
      <c r="I134" s="46"/>
      <c r="J134" s="46"/>
      <c r="K134" s="46"/>
      <c r="L134" s="46"/>
      <c r="M134" s="46"/>
      <c r="N134" s="46"/>
      <c r="O134" s="46"/>
      <c r="P134" s="46"/>
      <c r="Q134" s="46"/>
      <c r="R134" s="46"/>
      <c r="S134" s="46"/>
      <c r="T134" s="46"/>
      <c r="U134" s="46"/>
    </row>
    <row r="135" spans="1:21">
      <c r="A135" s="338" t="s">
        <v>18</v>
      </c>
      <c r="B135" s="46" t="s">
        <v>113</v>
      </c>
      <c r="C135" s="46"/>
      <c r="D135" s="46"/>
      <c r="E135" s="46"/>
      <c r="F135" s="46"/>
      <c r="G135" s="46"/>
      <c r="H135" s="46"/>
      <c r="I135" s="46"/>
      <c r="J135" s="46"/>
      <c r="K135" s="46"/>
      <c r="L135" s="46"/>
      <c r="M135" s="46"/>
      <c r="N135" s="46"/>
      <c r="O135" s="46"/>
      <c r="P135" s="46"/>
      <c r="Q135" s="46"/>
      <c r="R135" s="46"/>
      <c r="S135" s="46"/>
      <c r="T135" s="46"/>
      <c r="U135" s="46"/>
    </row>
    <row r="136" spans="1:21">
      <c r="A136" s="335" t="s">
        <v>19</v>
      </c>
      <c r="B136" s="46"/>
      <c r="C136" s="46"/>
      <c r="D136" s="46"/>
      <c r="E136" s="46"/>
      <c r="F136" s="46"/>
      <c r="G136" s="46"/>
      <c r="H136" s="46"/>
      <c r="I136" s="46"/>
      <c r="J136" s="46"/>
      <c r="K136" s="46"/>
      <c r="L136" s="46"/>
      <c r="M136" s="46"/>
      <c r="N136" s="46"/>
      <c r="O136" s="46"/>
      <c r="P136" s="46"/>
      <c r="Q136" s="46"/>
      <c r="R136" s="46"/>
      <c r="S136" s="46"/>
      <c r="T136" s="46"/>
      <c r="U136" s="46"/>
    </row>
    <row r="137" spans="1:21">
      <c r="A137" s="336" t="s">
        <v>20</v>
      </c>
      <c r="B137" s="336" t="s">
        <v>21</v>
      </c>
      <c r="C137" s="336" t="s">
        <v>18</v>
      </c>
      <c r="D137" s="336" t="s">
        <v>22</v>
      </c>
      <c r="E137" s="336" t="s">
        <v>7</v>
      </c>
      <c r="F137" s="336" t="s">
        <v>13</v>
      </c>
      <c r="G137" s="336" t="s">
        <v>16</v>
      </c>
      <c r="H137" s="336" t="s">
        <v>23</v>
      </c>
      <c r="I137" s="336" t="s">
        <v>24</v>
      </c>
      <c r="J137" s="336" t="s">
        <v>25</v>
      </c>
      <c r="K137" s="336" t="s">
        <v>26</v>
      </c>
      <c r="L137" s="336" t="s">
        <v>27</v>
      </c>
      <c r="M137" s="336" t="s">
        <v>28</v>
      </c>
      <c r="N137" s="336" t="s">
        <v>11</v>
      </c>
      <c r="O137" s="46"/>
      <c r="P137" s="46"/>
      <c r="Q137" s="46"/>
      <c r="R137" s="46"/>
      <c r="S137" s="46"/>
      <c r="T137" s="46"/>
      <c r="U137" s="46"/>
    </row>
    <row r="138" spans="1:21">
      <c r="A138" s="46" t="s">
        <v>922</v>
      </c>
      <c r="B138" s="437">
        <v>0.02</v>
      </c>
      <c r="C138" s="46" t="s">
        <v>113</v>
      </c>
      <c r="D138" s="400" t="s">
        <v>2</v>
      </c>
      <c r="E138" s="46" t="s">
        <v>29</v>
      </c>
      <c r="F138" s="32" t="s">
        <v>14</v>
      </c>
      <c r="G138" s="46" t="s">
        <v>30</v>
      </c>
      <c r="H138" s="46">
        <v>1</v>
      </c>
      <c r="I138" s="46">
        <f t="shared" ref="I138:I139" si="12">B138</f>
        <v>0.02</v>
      </c>
      <c r="J138" s="46" t="s">
        <v>31</v>
      </c>
      <c r="K138" s="46" t="s">
        <v>31</v>
      </c>
      <c r="L138" s="46" t="s">
        <v>31</v>
      </c>
      <c r="M138" s="46" t="s">
        <v>31</v>
      </c>
      <c r="N138" s="46"/>
      <c r="O138" s="401"/>
      <c r="P138" s="402"/>
      <c r="Q138" s="342"/>
      <c r="R138" s="46"/>
      <c r="S138" s="46"/>
      <c r="T138" s="46"/>
      <c r="U138" s="46"/>
    </row>
    <row r="139" spans="1:21">
      <c r="A139" s="62" t="s">
        <v>927</v>
      </c>
      <c r="B139" s="437">
        <v>0.02</v>
      </c>
      <c r="C139" s="46" t="s">
        <v>113</v>
      </c>
      <c r="D139" s="400" t="s">
        <v>2</v>
      </c>
      <c r="E139" s="46" t="s">
        <v>29</v>
      </c>
      <c r="F139" s="32" t="s">
        <v>14</v>
      </c>
      <c r="G139" s="46" t="s">
        <v>33</v>
      </c>
      <c r="H139" s="46">
        <v>1</v>
      </c>
      <c r="I139" s="46">
        <f t="shared" si="12"/>
        <v>0.02</v>
      </c>
      <c r="J139" s="46" t="s">
        <v>31</v>
      </c>
      <c r="K139" s="46" t="s">
        <v>31</v>
      </c>
      <c r="L139" s="46" t="s">
        <v>31</v>
      </c>
      <c r="M139" s="46" t="s">
        <v>31</v>
      </c>
      <c r="N139" s="46"/>
      <c r="O139" s="46"/>
      <c r="P139" s="46"/>
      <c r="Q139" s="46"/>
      <c r="R139" s="46"/>
      <c r="S139" s="46"/>
      <c r="T139" s="46"/>
      <c r="U139" s="46"/>
    </row>
    <row r="140" spans="1:21">
      <c r="A140" s="32" t="s">
        <v>683</v>
      </c>
      <c r="B140" s="46">
        <f>R140</f>
        <v>1.8000000000000002E-3</v>
      </c>
      <c r="C140" s="46" t="s">
        <v>37</v>
      </c>
      <c r="D140" s="46" t="s">
        <v>40</v>
      </c>
      <c r="E140" s="46" t="s">
        <v>29</v>
      </c>
      <c r="F140" s="46" t="s">
        <v>35</v>
      </c>
      <c r="G140" s="46" t="s">
        <v>33</v>
      </c>
      <c r="H140" s="46">
        <v>2</v>
      </c>
      <c r="I140" s="46">
        <f>LN(B140)</f>
        <v>-6.3199686140800182</v>
      </c>
      <c r="J140" s="46">
        <v>0.20928449536456342</v>
      </c>
      <c r="K140" s="46" t="s">
        <v>31</v>
      </c>
      <c r="L140" s="46" t="s">
        <v>31</v>
      </c>
      <c r="M140" s="46" t="s">
        <v>31</v>
      </c>
      <c r="N140" s="46"/>
      <c r="O140" s="393" t="s">
        <v>575</v>
      </c>
      <c r="P140" s="406">
        <v>1.8</v>
      </c>
      <c r="Q140" s="46" t="s">
        <v>221</v>
      </c>
      <c r="R140" s="46">
        <f>0.001*P140</f>
        <v>1.8000000000000002E-3</v>
      </c>
      <c r="S140" s="46"/>
      <c r="T140" s="46"/>
      <c r="U140" s="46"/>
    </row>
    <row r="141" spans="1:21">
      <c r="A141" s="32" t="s">
        <v>530</v>
      </c>
      <c r="B141" s="46">
        <f>R141</f>
        <v>1.8000000000000002E-3</v>
      </c>
      <c r="C141" s="46" t="s">
        <v>37</v>
      </c>
      <c r="D141" s="46" t="s">
        <v>40</v>
      </c>
      <c r="E141" s="46" t="s">
        <v>29</v>
      </c>
      <c r="F141" s="46" t="s">
        <v>35</v>
      </c>
      <c r="G141" s="46" t="s">
        <v>33</v>
      </c>
      <c r="H141" s="46">
        <v>2</v>
      </c>
      <c r="I141" s="46">
        <f>LN(B141)</f>
        <v>-6.3199686140800182</v>
      </c>
      <c r="J141" s="46">
        <v>0.20928449536456342</v>
      </c>
      <c r="K141" s="46" t="s">
        <v>31</v>
      </c>
      <c r="L141" s="46" t="s">
        <v>31</v>
      </c>
      <c r="M141" s="46" t="s">
        <v>31</v>
      </c>
      <c r="N141" s="46"/>
      <c r="O141" s="393" t="s">
        <v>575</v>
      </c>
      <c r="P141" s="406">
        <v>1.8</v>
      </c>
      <c r="Q141" s="46" t="s">
        <v>221</v>
      </c>
      <c r="R141" s="46">
        <f>0.001*P141</f>
        <v>1.8000000000000002E-3</v>
      </c>
      <c r="S141" s="46"/>
      <c r="T141" s="46"/>
      <c r="U141" s="46"/>
    </row>
    <row r="142" spans="1:21" s="41" customFormat="1">
      <c r="A142" s="362" t="s">
        <v>5</v>
      </c>
      <c r="B142" s="438" t="s">
        <v>927</v>
      </c>
      <c r="C142" s="364"/>
      <c r="D142" s="345"/>
      <c r="E142" s="345"/>
      <c r="F142" s="345"/>
      <c r="G142" s="345"/>
      <c r="H142" s="345"/>
      <c r="I142" s="345"/>
      <c r="J142" s="345"/>
      <c r="K142" s="345"/>
      <c r="L142" s="345"/>
      <c r="M142" s="345"/>
      <c r="N142" s="345"/>
      <c r="O142" s="345"/>
      <c r="P142" s="345"/>
      <c r="Q142" s="345"/>
      <c r="R142" s="345"/>
      <c r="S142" s="345"/>
      <c r="T142" s="345"/>
      <c r="U142" s="345"/>
    </row>
    <row r="143" spans="1:21">
      <c r="A143" s="338" t="s">
        <v>7</v>
      </c>
      <c r="B143" s="46" t="s">
        <v>779</v>
      </c>
      <c r="C143" s="337"/>
      <c r="D143" s="46"/>
      <c r="E143" s="46"/>
      <c r="F143" s="46"/>
      <c r="G143" s="46"/>
      <c r="H143" s="46"/>
      <c r="I143" s="46"/>
      <c r="J143" s="46"/>
      <c r="K143" s="46"/>
      <c r="L143" s="46"/>
      <c r="M143" s="46"/>
      <c r="N143" s="46"/>
      <c r="O143" s="46"/>
      <c r="P143" s="46"/>
      <c r="Q143" s="46"/>
      <c r="R143" s="46"/>
      <c r="S143" s="46"/>
      <c r="T143" s="46"/>
      <c r="U143" s="46"/>
    </row>
    <row r="144" spans="1:21">
      <c r="A144" s="416" t="s">
        <v>9</v>
      </c>
      <c r="B144" s="46" t="s">
        <v>928</v>
      </c>
      <c r="C144" s="337"/>
      <c r="D144" s="46"/>
      <c r="E144" s="46"/>
      <c r="F144" s="46"/>
      <c r="G144" s="46"/>
      <c r="H144" s="46"/>
      <c r="I144" s="46"/>
      <c r="J144" s="46"/>
      <c r="K144" s="46"/>
      <c r="L144" s="46"/>
      <c r="M144" s="46"/>
      <c r="N144" s="46"/>
      <c r="O144" s="46"/>
      <c r="P144" s="46"/>
      <c r="Q144" s="46"/>
      <c r="R144" s="46"/>
      <c r="S144" s="46"/>
      <c r="T144" s="46"/>
      <c r="U144" s="46"/>
    </row>
    <row r="145" spans="1:21" ht="15.75" customHeight="1">
      <c r="A145" s="338" t="s">
        <v>11</v>
      </c>
      <c r="B145" s="339" t="s">
        <v>789</v>
      </c>
      <c r="C145" s="46"/>
      <c r="D145" s="46"/>
      <c r="E145" s="46"/>
      <c r="F145" s="46"/>
      <c r="G145" s="46"/>
      <c r="H145" s="46"/>
      <c r="I145" s="46"/>
      <c r="J145" s="46"/>
      <c r="K145" s="46"/>
      <c r="L145" s="46"/>
      <c r="M145" s="46"/>
      <c r="N145" s="46"/>
      <c r="O145" s="46"/>
      <c r="P145" s="46"/>
      <c r="Q145" s="46"/>
      <c r="R145" s="46"/>
      <c r="S145" s="46"/>
      <c r="T145" s="46"/>
      <c r="U145" s="46"/>
    </row>
    <row r="146" spans="1:21">
      <c r="A146" s="338" t="s">
        <v>13</v>
      </c>
      <c r="B146" s="46" t="s">
        <v>14</v>
      </c>
      <c r="C146" s="46"/>
      <c r="D146" s="46"/>
      <c r="E146" s="46"/>
      <c r="F146" s="46"/>
      <c r="G146" s="46"/>
      <c r="H146" s="46"/>
      <c r="I146" s="46"/>
      <c r="J146" s="46"/>
      <c r="K146" s="46"/>
      <c r="L146" s="46"/>
      <c r="M146" s="46"/>
      <c r="N146" s="46"/>
      <c r="O146" s="46"/>
      <c r="P146" s="46"/>
      <c r="Q146" s="46"/>
      <c r="R146" s="46"/>
      <c r="S146" s="46"/>
      <c r="T146" s="46"/>
      <c r="U146" s="46"/>
    </row>
    <row r="147" spans="1:21">
      <c r="A147" s="338" t="s">
        <v>15</v>
      </c>
      <c r="B147" s="437">
        <f>B154</f>
        <v>0.02</v>
      </c>
      <c r="C147" s="46"/>
      <c r="D147" s="46"/>
      <c r="E147" s="46"/>
      <c r="F147" s="46"/>
      <c r="G147" s="46"/>
      <c r="H147" s="46"/>
      <c r="I147" s="46"/>
      <c r="J147" s="46"/>
      <c r="K147" s="46"/>
      <c r="L147" s="46"/>
      <c r="M147" s="46"/>
      <c r="N147" s="46"/>
      <c r="O147" s="46"/>
      <c r="P147" s="46"/>
      <c r="Q147" s="46"/>
      <c r="R147" s="46"/>
      <c r="S147" s="46"/>
      <c r="T147" s="46"/>
      <c r="U147" s="46"/>
    </row>
    <row r="148" spans="1:21">
      <c r="A148" s="338" t="s">
        <v>16</v>
      </c>
      <c r="B148" s="46" t="s">
        <v>17</v>
      </c>
      <c r="C148" s="46"/>
      <c r="D148" s="46"/>
      <c r="E148" s="46"/>
      <c r="F148" s="46"/>
      <c r="G148" s="46"/>
      <c r="H148" s="46"/>
      <c r="I148" s="46"/>
      <c r="J148" s="46"/>
      <c r="K148" s="46"/>
      <c r="L148" s="46"/>
      <c r="M148" s="46"/>
      <c r="N148" s="46"/>
      <c r="O148" s="46"/>
      <c r="P148" s="46"/>
      <c r="Q148" s="46"/>
      <c r="R148" s="46"/>
      <c r="S148" s="46"/>
      <c r="T148" s="46"/>
      <c r="U148" s="46"/>
    </row>
    <row r="149" spans="1:21">
      <c r="A149" s="338" t="s">
        <v>18</v>
      </c>
      <c r="B149" s="46" t="s">
        <v>113</v>
      </c>
      <c r="C149" s="46"/>
      <c r="D149" s="46"/>
      <c r="E149" s="46"/>
      <c r="F149" s="46"/>
      <c r="G149" s="46"/>
      <c r="H149" s="46"/>
      <c r="I149" s="46"/>
      <c r="J149" s="46"/>
      <c r="K149" s="46"/>
      <c r="L149" s="46"/>
      <c r="M149" s="46"/>
      <c r="N149" s="46"/>
      <c r="O149" s="46"/>
      <c r="P149" s="46"/>
      <c r="Q149" s="46"/>
      <c r="R149" s="46"/>
      <c r="S149" s="46"/>
      <c r="T149" s="46"/>
      <c r="U149" s="46"/>
    </row>
    <row r="150" spans="1:21">
      <c r="A150" s="335" t="s">
        <v>19</v>
      </c>
      <c r="B150" s="46"/>
      <c r="C150" s="46"/>
      <c r="D150" s="46"/>
      <c r="E150" s="46"/>
      <c r="F150" s="46"/>
      <c r="G150" s="46"/>
      <c r="H150" s="46"/>
      <c r="I150" s="46"/>
      <c r="J150" s="46"/>
      <c r="K150" s="46"/>
      <c r="L150" s="46"/>
      <c r="M150" s="46"/>
      <c r="N150" s="46"/>
      <c r="O150" s="46"/>
      <c r="P150" s="46"/>
      <c r="Q150" s="46"/>
      <c r="R150" s="46"/>
      <c r="S150" s="46"/>
      <c r="T150" s="46"/>
      <c r="U150" s="46"/>
    </row>
    <row r="151" spans="1:21">
      <c r="A151" s="336" t="s">
        <v>20</v>
      </c>
      <c r="B151" s="336" t="s">
        <v>21</v>
      </c>
      <c r="C151" s="336" t="s">
        <v>18</v>
      </c>
      <c r="D151" s="336" t="s">
        <v>22</v>
      </c>
      <c r="E151" s="336" t="s">
        <v>7</v>
      </c>
      <c r="F151" s="336" t="s">
        <v>13</v>
      </c>
      <c r="G151" s="336" t="s">
        <v>16</v>
      </c>
      <c r="H151" s="336" t="s">
        <v>23</v>
      </c>
      <c r="I151" s="336" t="s">
        <v>24</v>
      </c>
      <c r="J151" s="336" t="s">
        <v>25</v>
      </c>
      <c r="K151" s="336" t="s">
        <v>26</v>
      </c>
      <c r="L151" s="336" t="s">
        <v>27</v>
      </c>
      <c r="M151" s="336" t="s">
        <v>28</v>
      </c>
      <c r="N151" s="336" t="s">
        <v>11</v>
      </c>
      <c r="O151" s="46"/>
      <c r="P151" s="46"/>
      <c r="Q151" s="46"/>
      <c r="R151" s="46"/>
      <c r="S151" s="46"/>
      <c r="T151" s="46"/>
      <c r="U151" s="46"/>
    </row>
    <row r="152" spans="1:21">
      <c r="A152" s="62" t="s">
        <v>927</v>
      </c>
      <c r="B152" s="437">
        <f>B154</f>
        <v>0.02</v>
      </c>
      <c r="C152" s="46" t="s">
        <v>113</v>
      </c>
      <c r="D152" s="400" t="s">
        <v>2</v>
      </c>
      <c r="E152" s="46" t="s">
        <v>29</v>
      </c>
      <c r="F152" s="32" t="s">
        <v>14</v>
      </c>
      <c r="G152" s="46" t="s">
        <v>30</v>
      </c>
      <c r="H152" s="46">
        <v>1</v>
      </c>
      <c r="I152" s="46">
        <f t="shared" ref="I152:I154" si="13">B152</f>
        <v>0.02</v>
      </c>
      <c r="J152" s="46" t="s">
        <v>31</v>
      </c>
      <c r="K152" s="46" t="s">
        <v>31</v>
      </c>
      <c r="L152" s="46" t="s">
        <v>31</v>
      </c>
      <c r="M152" s="46" t="s">
        <v>31</v>
      </c>
      <c r="N152" s="46"/>
      <c r="O152" s="46"/>
      <c r="P152" s="46"/>
      <c r="Q152" s="46"/>
      <c r="R152" s="46"/>
      <c r="S152" s="46"/>
      <c r="T152" s="46"/>
      <c r="U152" s="46"/>
    </row>
    <row r="153" spans="1:21">
      <c r="A153" s="46" t="s">
        <v>929</v>
      </c>
      <c r="B153" s="407">
        <f>B233</f>
        <v>6.0000000000000001E-3</v>
      </c>
      <c r="C153" s="46" t="s">
        <v>113</v>
      </c>
      <c r="D153" s="400" t="s">
        <v>2</v>
      </c>
      <c r="E153" s="46" t="s">
        <v>29</v>
      </c>
      <c r="F153" s="32" t="s">
        <v>14</v>
      </c>
      <c r="G153" s="46" t="s">
        <v>33</v>
      </c>
      <c r="H153" s="46">
        <v>1</v>
      </c>
      <c r="I153" s="46">
        <f t="shared" si="13"/>
        <v>6.0000000000000001E-3</v>
      </c>
      <c r="J153" s="46" t="s">
        <v>31</v>
      </c>
      <c r="K153" s="46" t="s">
        <v>31</v>
      </c>
      <c r="L153" s="46" t="s">
        <v>31</v>
      </c>
      <c r="M153" s="46" t="s">
        <v>31</v>
      </c>
      <c r="N153" s="46"/>
      <c r="O153" s="46"/>
      <c r="P153" s="46"/>
      <c r="Q153" s="46"/>
      <c r="R153" s="46"/>
      <c r="S153" s="46"/>
      <c r="T153" s="46"/>
      <c r="U153" s="46"/>
    </row>
    <row r="154" spans="1:21">
      <c r="A154" s="46" t="s">
        <v>930</v>
      </c>
      <c r="B154" s="407">
        <f>B162</f>
        <v>0.02</v>
      </c>
      <c r="C154" s="46" t="s">
        <v>113</v>
      </c>
      <c r="D154" s="400" t="s">
        <v>2</v>
      </c>
      <c r="E154" s="46" t="s">
        <v>29</v>
      </c>
      <c r="F154" s="32" t="s">
        <v>14</v>
      </c>
      <c r="G154" s="46" t="s">
        <v>33</v>
      </c>
      <c r="H154" s="46">
        <v>1</v>
      </c>
      <c r="I154" s="46">
        <f t="shared" si="13"/>
        <v>0.02</v>
      </c>
      <c r="J154" s="46" t="s">
        <v>31</v>
      </c>
      <c r="K154" s="46" t="s">
        <v>31</v>
      </c>
      <c r="L154" s="46" t="s">
        <v>31</v>
      </c>
      <c r="M154" s="46" t="s">
        <v>31</v>
      </c>
      <c r="N154" s="46"/>
      <c r="O154" s="46"/>
      <c r="P154" s="46"/>
      <c r="Q154" s="46"/>
      <c r="R154" s="46"/>
      <c r="S154" s="46"/>
      <c r="T154" s="46"/>
      <c r="U154" s="46"/>
    </row>
    <row r="155" spans="1:21">
      <c r="A155" s="338" t="s">
        <v>75</v>
      </c>
      <c r="B155" s="342">
        <f>R155</f>
        <v>0.47</v>
      </c>
      <c r="C155" s="46" t="s">
        <v>39</v>
      </c>
      <c r="D155" s="46" t="s">
        <v>40</v>
      </c>
      <c r="E155" s="46" t="s">
        <v>29</v>
      </c>
      <c r="F155" s="32" t="s">
        <v>35</v>
      </c>
      <c r="G155" s="46" t="s">
        <v>33</v>
      </c>
      <c r="H155" s="46">
        <v>2</v>
      </c>
      <c r="I155" s="46">
        <f t="shared" ref="I155:I156" si="14">LN(B155)</f>
        <v>-0.75502258427803282</v>
      </c>
      <c r="J155" s="46">
        <v>9.7082439194738052E-2</v>
      </c>
      <c r="K155" s="46" t="s">
        <v>31</v>
      </c>
      <c r="L155" s="46" t="s">
        <v>31</v>
      </c>
      <c r="M155" s="46" t="s">
        <v>31</v>
      </c>
      <c r="N155" s="46"/>
      <c r="O155" s="375" t="s">
        <v>216</v>
      </c>
      <c r="P155" s="432">
        <v>0.47</v>
      </c>
      <c r="Q155" s="46" t="s">
        <v>216</v>
      </c>
      <c r="R155" s="342">
        <f>P155</f>
        <v>0.47</v>
      </c>
      <c r="S155" s="46"/>
      <c r="T155" s="46"/>
      <c r="U155" s="46"/>
    </row>
    <row r="156" spans="1:21">
      <c r="A156" s="338" t="s">
        <v>480</v>
      </c>
      <c r="B156" s="46">
        <v>1.2</v>
      </c>
      <c r="C156" s="46" t="s">
        <v>37</v>
      </c>
      <c r="D156" s="46" t="s">
        <v>40</v>
      </c>
      <c r="E156" s="46" t="s">
        <v>29</v>
      </c>
      <c r="F156" s="32" t="s">
        <v>35</v>
      </c>
      <c r="G156" s="46" t="s">
        <v>33</v>
      </c>
      <c r="H156" s="46">
        <v>2</v>
      </c>
      <c r="I156" s="46">
        <f t="shared" si="14"/>
        <v>0.18232155679395459</v>
      </c>
      <c r="J156" s="46">
        <v>9.7082439194738052E-2</v>
      </c>
      <c r="K156" s="46" t="s">
        <v>31</v>
      </c>
      <c r="L156" s="46" t="s">
        <v>31</v>
      </c>
      <c r="M156" s="46" t="s">
        <v>31</v>
      </c>
      <c r="N156" s="46"/>
      <c r="O156" s="46"/>
      <c r="P156" s="46"/>
      <c r="Q156" s="46"/>
      <c r="R156" s="46"/>
      <c r="S156" s="46"/>
      <c r="T156" s="46"/>
      <c r="U156" s="46"/>
    </row>
    <row r="157" spans="1:21" s="41" customFormat="1">
      <c r="A157" s="362" t="s">
        <v>5</v>
      </c>
      <c r="B157" s="363" t="s">
        <v>930</v>
      </c>
      <c r="C157" s="364"/>
      <c r="D157" s="345"/>
      <c r="E157" s="345"/>
      <c r="F157" s="345"/>
      <c r="G157" s="345"/>
      <c r="H157" s="345"/>
      <c r="I157" s="345"/>
      <c r="J157" s="345"/>
      <c r="K157" s="345"/>
      <c r="L157" s="345"/>
      <c r="M157" s="345"/>
      <c r="N157" s="345"/>
      <c r="O157" s="345"/>
      <c r="P157" s="345"/>
      <c r="Q157" s="345"/>
      <c r="R157" s="345"/>
      <c r="S157" s="345"/>
      <c r="T157" s="345"/>
      <c r="U157" s="345"/>
    </row>
    <row r="158" spans="1:21">
      <c r="A158" s="338" t="s">
        <v>7</v>
      </c>
      <c r="B158" s="46" t="s">
        <v>779</v>
      </c>
      <c r="C158" s="337"/>
      <c r="D158" s="46"/>
      <c r="E158" s="46"/>
      <c r="F158" s="46"/>
      <c r="G158" s="46"/>
      <c r="H158" s="46"/>
      <c r="I158" s="46"/>
      <c r="J158" s="46"/>
      <c r="K158" s="46"/>
      <c r="L158" s="46"/>
      <c r="M158" s="46"/>
      <c r="N158" s="46"/>
      <c r="O158" s="46"/>
      <c r="P158" s="46"/>
      <c r="Q158" s="46"/>
      <c r="R158" s="46"/>
      <c r="S158" s="46"/>
      <c r="T158" s="46"/>
      <c r="U158" s="46"/>
    </row>
    <row r="159" spans="1:21">
      <c r="A159" s="416" t="s">
        <v>9</v>
      </c>
      <c r="B159" s="46" t="s">
        <v>931</v>
      </c>
      <c r="C159" s="337"/>
      <c r="D159" s="46"/>
      <c r="E159" s="46"/>
      <c r="F159" s="46"/>
      <c r="G159" s="46"/>
      <c r="H159" s="46"/>
      <c r="I159" s="46"/>
      <c r="J159" s="46"/>
      <c r="K159" s="46"/>
      <c r="L159" s="46"/>
      <c r="M159" s="46"/>
      <c r="N159" s="46"/>
      <c r="O159" s="46"/>
      <c r="P159" s="46"/>
      <c r="Q159" s="46"/>
      <c r="R159" s="46"/>
      <c r="S159" s="46"/>
      <c r="T159" s="46"/>
      <c r="U159" s="46"/>
    </row>
    <row r="160" spans="1:21" ht="15.75" customHeight="1">
      <c r="A160" s="338" t="s">
        <v>11</v>
      </c>
      <c r="B160" s="339" t="s">
        <v>789</v>
      </c>
      <c r="C160" s="46"/>
      <c r="D160" s="46"/>
      <c r="E160" s="46"/>
      <c r="F160" s="46"/>
      <c r="G160" s="46"/>
      <c r="H160" s="46"/>
      <c r="I160" s="46"/>
      <c r="J160" s="46"/>
      <c r="K160" s="46"/>
      <c r="L160" s="46"/>
      <c r="M160" s="46"/>
      <c r="N160" s="46"/>
      <c r="O160" s="46"/>
      <c r="P160" s="46"/>
      <c r="Q160" s="46"/>
      <c r="R160" s="46"/>
      <c r="S160" s="46"/>
      <c r="T160" s="46"/>
      <c r="U160" s="46"/>
    </row>
    <row r="161" spans="1:21">
      <c r="A161" s="338" t="s">
        <v>13</v>
      </c>
      <c r="B161" s="46" t="s">
        <v>14</v>
      </c>
      <c r="C161" s="46"/>
      <c r="D161" s="46"/>
      <c r="E161" s="46"/>
      <c r="F161" s="46"/>
      <c r="G161" s="46"/>
      <c r="H161" s="46"/>
      <c r="I161" s="46"/>
      <c r="J161" s="46"/>
      <c r="K161" s="46"/>
      <c r="L161" s="46"/>
      <c r="M161" s="46"/>
      <c r="N161" s="46"/>
      <c r="O161" s="46"/>
      <c r="P161" s="46"/>
      <c r="Q161" s="46"/>
      <c r="R161" s="46"/>
      <c r="S161" s="46"/>
      <c r="T161" s="46"/>
      <c r="U161" s="46"/>
    </row>
    <row r="162" spans="1:21">
      <c r="A162" s="338" t="s">
        <v>15</v>
      </c>
      <c r="B162" s="417">
        <f>B168</f>
        <v>0.02</v>
      </c>
      <c r="C162" s="46"/>
      <c r="D162" s="46"/>
      <c r="E162" s="46"/>
      <c r="F162" s="46"/>
      <c r="G162" s="46"/>
      <c r="H162" s="46"/>
      <c r="I162" s="46"/>
      <c r="J162" s="46"/>
      <c r="K162" s="46"/>
      <c r="L162" s="46"/>
      <c r="M162" s="46"/>
      <c r="N162" s="46"/>
      <c r="O162" s="46"/>
      <c r="P162" s="46"/>
      <c r="Q162" s="46"/>
      <c r="R162" s="46"/>
      <c r="S162" s="46"/>
      <c r="T162" s="46"/>
      <c r="U162" s="46"/>
    </row>
    <row r="163" spans="1:21">
      <c r="A163" s="338" t="s">
        <v>16</v>
      </c>
      <c r="B163" s="46" t="s">
        <v>17</v>
      </c>
      <c r="C163" s="46"/>
      <c r="D163" s="46"/>
      <c r="E163" s="46"/>
      <c r="F163" s="46"/>
      <c r="G163" s="46"/>
      <c r="H163" s="46"/>
      <c r="I163" s="46"/>
      <c r="J163" s="46"/>
      <c r="K163" s="46"/>
      <c r="L163" s="46"/>
      <c r="M163" s="46"/>
      <c r="N163" s="46"/>
      <c r="O163" s="46"/>
      <c r="P163" s="46"/>
      <c r="Q163" s="46"/>
      <c r="R163" s="46"/>
      <c r="S163" s="46"/>
      <c r="T163" s="46"/>
      <c r="U163" s="46"/>
    </row>
    <row r="164" spans="1:21">
      <c r="A164" s="338" t="s">
        <v>18</v>
      </c>
      <c r="B164" s="46" t="s">
        <v>113</v>
      </c>
      <c r="C164" s="46"/>
      <c r="D164" s="46"/>
      <c r="E164" s="46"/>
      <c r="F164" s="46"/>
      <c r="G164" s="46"/>
      <c r="H164" s="46"/>
      <c r="I164" s="46"/>
      <c r="J164" s="46"/>
      <c r="K164" s="46"/>
      <c r="L164" s="46"/>
      <c r="M164" s="46"/>
      <c r="N164" s="46"/>
      <c r="O164" s="46"/>
      <c r="P164" s="46"/>
      <c r="Q164" s="46"/>
      <c r="R164" s="46"/>
      <c r="S164" s="46"/>
      <c r="T164" s="46"/>
      <c r="U164" s="46"/>
    </row>
    <row r="165" spans="1:21">
      <c r="A165" s="335" t="s">
        <v>19</v>
      </c>
      <c r="B165" s="46"/>
      <c r="C165" s="46"/>
      <c r="D165" s="46"/>
      <c r="E165" s="46"/>
      <c r="F165" s="46"/>
      <c r="G165" s="46"/>
      <c r="H165" s="46"/>
      <c r="I165" s="46"/>
      <c r="J165" s="46"/>
      <c r="K165" s="46"/>
      <c r="L165" s="46"/>
      <c r="M165" s="46"/>
      <c r="N165" s="46"/>
      <c r="O165" s="46"/>
      <c r="P165" s="46"/>
      <c r="Q165" s="46"/>
      <c r="R165" s="46"/>
      <c r="S165" s="46"/>
      <c r="T165" s="46"/>
      <c r="U165" s="46"/>
    </row>
    <row r="166" spans="1:21">
      <c r="A166" s="336" t="s">
        <v>20</v>
      </c>
      <c r="B166" s="336" t="s">
        <v>21</v>
      </c>
      <c r="C166" s="336" t="s">
        <v>18</v>
      </c>
      <c r="D166" s="336" t="s">
        <v>22</v>
      </c>
      <c r="E166" s="336" t="s">
        <v>7</v>
      </c>
      <c r="F166" s="336" t="s">
        <v>13</v>
      </c>
      <c r="G166" s="336" t="s">
        <v>16</v>
      </c>
      <c r="H166" s="336" t="s">
        <v>23</v>
      </c>
      <c r="I166" s="336" t="s">
        <v>24</v>
      </c>
      <c r="J166" s="336" t="s">
        <v>25</v>
      </c>
      <c r="K166" s="336" t="s">
        <v>26</v>
      </c>
      <c r="L166" s="336" t="s">
        <v>27</v>
      </c>
      <c r="M166" s="336" t="s">
        <v>28</v>
      </c>
      <c r="N166" s="336" t="s">
        <v>11</v>
      </c>
      <c r="O166" s="46"/>
      <c r="P166" s="46"/>
      <c r="Q166" s="46"/>
      <c r="R166" s="46"/>
      <c r="S166" s="46"/>
      <c r="T166" s="46"/>
      <c r="U166" s="46"/>
    </row>
    <row r="167" spans="1:21">
      <c r="A167" s="46" t="s">
        <v>930</v>
      </c>
      <c r="B167" s="407">
        <f>B168</f>
        <v>0.02</v>
      </c>
      <c r="C167" s="46" t="s">
        <v>113</v>
      </c>
      <c r="D167" s="400" t="s">
        <v>2</v>
      </c>
      <c r="E167" s="46" t="s">
        <v>29</v>
      </c>
      <c r="F167" s="32" t="s">
        <v>14</v>
      </c>
      <c r="G167" s="46" t="s">
        <v>30</v>
      </c>
      <c r="H167" s="46">
        <v>1</v>
      </c>
      <c r="I167" s="46">
        <f t="shared" ref="I167:I168" si="15">B167</f>
        <v>0.02</v>
      </c>
      <c r="J167" s="46" t="s">
        <v>31</v>
      </c>
      <c r="K167" s="46" t="s">
        <v>31</v>
      </c>
      <c r="L167" s="46" t="s">
        <v>31</v>
      </c>
      <c r="M167" s="46" t="s">
        <v>31</v>
      </c>
      <c r="N167" s="46"/>
      <c r="O167" s="46"/>
      <c r="P167" s="46"/>
      <c r="Q167" s="46"/>
      <c r="R167" s="46"/>
      <c r="S167" s="46"/>
      <c r="T167" s="46"/>
      <c r="U167" s="46"/>
    </row>
    <row r="168" spans="1:21">
      <c r="A168" s="62" t="s">
        <v>932</v>
      </c>
      <c r="B168" s="407">
        <f>B185</f>
        <v>0.02</v>
      </c>
      <c r="C168" s="46" t="s">
        <v>113</v>
      </c>
      <c r="D168" s="400" t="s">
        <v>2</v>
      </c>
      <c r="E168" s="46" t="s">
        <v>29</v>
      </c>
      <c r="F168" s="32" t="s">
        <v>14</v>
      </c>
      <c r="G168" s="46" t="s">
        <v>33</v>
      </c>
      <c r="H168" s="46">
        <v>1</v>
      </c>
      <c r="I168" s="46">
        <f t="shared" si="15"/>
        <v>0.02</v>
      </c>
      <c r="J168" s="46" t="s">
        <v>31</v>
      </c>
      <c r="K168" s="46" t="s">
        <v>31</v>
      </c>
      <c r="L168" s="46" t="s">
        <v>31</v>
      </c>
      <c r="M168" s="46" t="s">
        <v>31</v>
      </c>
      <c r="N168" s="46"/>
      <c r="O168" s="46"/>
      <c r="P168" s="46"/>
      <c r="Q168" s="46"/>
      <c r="R168" s="46"/>
      <c r="S168" s="46"/>
      <c r="T168" s="46"/>
      <c r="U168" s="46"/>
    </row>
    <row r="169" spans="1:21">
      <c r="A169" s="338" t="s">
        <v>75</v>
      </c>
      <c r="B169" s="342">
        <f>R169</f>
        <v>0.05</v>
      </c>
      <c r="C169" s="46" t="s">
        <v>39</v>
      </c>
      <c r="D169" s="46" t="s">
        <v>40</v>
      </c>
      <c r="E169" s="46" t="s">
        <v>29</v>
      </c>
      <c r="F169" s="32" t="s">
        <v>35</v>
      </c>
      <c r="G169" s="46" t="s">
        <v>33</v>
      </c>
      <c r="H169" s="46">
        <v>2</v>
      </c>
      <c r="I169" s="46">
        <f t="shared" ref="I169:I173" si="16">LN(B169)</f>
        <v>-2.9957322735539909</v>
      </c>
      <c r="J169" s="46">
        <v>0.20928449536456342</v>
      </c>
      <c r="K169" s="46" t="s">
        <v>31</v>
      </c>
      <c r="L169" s="46" t="s">
        <v>31</v>
      </c>
      <c r="M169" s="46" t="s">
        <v>31</v>
      </c>
      <c r="N169" s="46"/>
      <c r="O169" s="375" t="s">
        <v>216</v>
      </c>
      <c r="P169" s="120">
        <v>0.05</v>
      </c>
      <c r="Q169" s="46" t="s">
        <v>216</v>
      </c>
      <c r="R169" s="342">
        <f>P169</f>
        <v>0.05</v>
      </c>
      <c r="S169" s="46"/>
      <c r="T169" s="46"/>
      <c r="U169" s="46"/>
    </row>
    <row r="170" spans="1:21">
      <c r="A170" s="32" t="s">
        <v>791</v>
      </c>
      <c r="B170" s="46">
        <f>R170</f>
        <v>1.6999999999999999E-3</v>
      </c>
      <c r="C170" s="46" t="s">
        <v>37</v>
      </c>
      <c r="D170" s="46" t="s">
        <v>40</v>
      </c>
      <c r="E170" s="46" t="s">
        <v>29</v>
      </c>
      <c r="F170" s="32" t="s">
        <v>35</v>
      </c>
      <c r="G170" s="46" t="s">
        <v>33</v>
      </c>
      <c r="H170" s="46">
        <v>2</v>
      </c>
      <c r="I170" s="46">
        <f t="shared" si="16"/>
        <v>-6.3771270279199666</v>
      </c>
      <c r="J170" s="46">
        <v>0.20928449536456342</v>
      </c>
      <c r="K170" s="46" t="s">
        <v>31</v>
      </c>
      <c r="L170" s="46" t="s">
        <v>31</v>
      </c>
      <c r="M170" s="46" t="s">
        <v>31</v>
      </c>
      <c r="N170" s="46"/>
      <c r="O170" s="393" t="s">
        <v>575</v>
      </c>
      <c r="P170" s="120">
        <v>1.7</v>
      </c>
      <c r="Q170" s="46" t="s">
        <v>221</v>
      </c>
      <c r="R170" s="46">
        <f>0.001*P170</f>
        <v>1.6999999999999999E-3</v>
      </c>
      <c r="S170" s="46"/>
      <c r="T170" s="46"/>
      <c r="U170" s="46"/>
    </row>
    <row r="171" spans="1:21">
      <c r="A171" s="32" t="s">
        <v>546</v>
      </c>
      <c r="B171" s="46">
        <f>R171</f>
        <v>2.9999999999999997E-4</v>
      </c>
      <c r="C171" s="46" t="s">
        <v>37</v>
      </c>
      <c r="D171" s="46" t="s">
        <v>40</v>
      </c>
      <c r="E171" s="46" t="s">
        <v>29</v>
      </c>
      <c r="F171" s="32" t="s">
        <v>58</v>
      </c>
      <c r="G171" s="46" t="s">
        <v>33</v>
      </c>
      <c r="H171" s="46">
        <v>2</v>
      </c>
      <c r="I171" s="46">
        <f t="shared" si="16"/>
        <v>-8.1117280833080727</v>
      </c>
      <c r="J171" s="46">
        <v>0.20928449536456342</v>
      </c>
      <c r="K171" s="46" t="s">
        <v>31</v>
      </c>
      <c r="L171" s="46" t="s">
        <v>31</v>
      </c>
      <c r="M171" s="46" t="s">
        <v>31</v>
      </c>
      <c r="N171" s="46"/>
      <c r="O171" s="393" t="s">
        <v>575</v>
      </c>
      <c r="P171" s="120">
        <v>0.3</v>
      </c>
      <c r="Q171" s="46" t="s">
        <v>221</v>
      </c>
      <c r="R171" s="46">
        <f t="shared" ref="R171:R173" si="17">0.001*P171</f>
        <v>2.9999999999999997E-4</v>
      </c>
      <c r="S171" s="46"/>
      <c r="T171" s="46"/>
      <c r="U171" s="46"/>
    </row>
    <row r="172" spans="1:21">
      <c r="A172" s="338" t="s">
        <v>792</v>
      </c>
      <c r="B172" s="46">
        <f>R172</f>
        <v>8.0999999999999996E-3</v>
      </c>
      <c r="C172" s="46" t="s">
        <v>37</v>
      </c>
      <c r="D172" s="46" t="s">
        <v>40</v>
      </c>
      <c r="E172" s="46" t="s">
        <v>29</v>
      </c>
      <c r="F172" s="32" t="s">
        <v>741</v>
      </c>
      <c r="G172" s="46" t="s">
        <v>33</v>
      </c>
      <c r="H172" s="46">
        <v>2</v>
      </c>
      <c r="I172" s="46">
        <f t="shared" si="16"/>
        <v>-4.8158912173037436</v>
      </c>
      <c r="J172" s="46">
        <v>0.20928449536456342</v>
      </c>
      <c r="K172" s="46" t="s">
        <v>31</v>
      </c>
      <c r="L172" s="46" t="s">
        <v>31</v>
      </c>
      <c r="M172" s="46" t="s">
        <v>31</v>
      </c>
      <c r="N172" s="46"/>
      <c r="O172" s="393" t="s">
        <v>575</v>
      </c>
      <c r="P172" s="120">
        <v>8.1</v>
      </c>
      <c r="Q172" s="46" t="s">
        <v>221</v>
      </c>
      <c r="R172" s="46">
        <f t="shared" si="17"/>
        <v>8.0999999999999996E-3</v>
      </c>
      <c r="S172" s="46"/>
      <c r="T172" s="46"/>
      <c r="U172" s="46"/>
    </row>
    <row r="173" spans="1:21">
      <c r="A173" s="46" t="s">
        <v>777</v>
      </c>
      <c r="B173" s="46">
        <f>R173</f>
        <v>1.9E-3</v>
      </c>
      <c r="C173" s="46" t="s">
        <v>37</v>
      </c>
      <c r="D173" s="400" t="s">
        <v>2</v>
      </c>
      <c r="E173" s="46" t="s">
        <v>29</v>
      </c>
      <c r="F173" s="32" t="s">
        <v>741</v>
      </c>
      <c r="G173" s="46" t="s">
        <v>33</v>
      </c>
      <c r="H173" s="46">
        <v>2</v>
      </c>
      <c r="I173" s="46">
        <f t="shared" si="16"/>
        <v>-6.2659013928097425</v>
      </c>
      <c r="J173" s="46">
        <v>0.20928449536456342</v>
      </c>
      <c r="K173" s="46" t="s">
        <v>31</v>
      </c>
      <c r="L173" s="46" t="s">
        <v>31</v>
      </c>
      <c r="M173" s="46" t="s">
        <v>31</v>
      </c>
      <c r="N173" s="46"/>
      <c r="O173" s="439" t="s">
        <v>575</v>
      </c>
      <c r="P173" s="155">
        <v>1.9</v>
      </c>
      <c r="Q173" s="46" t="s">
        <v>221</v>
      </c>
      <c r="R173" s="46">
        <f t="shared" si="17"/>
        <v>1.9E-3</v>
      </c>
      <c r="S173" s="46"/>
      <c r="T173" s="46"/>
      <c r="U173" s="46"/>
    </row>
    <row r="174" spans="1:21" s="41" customFormat="1">
      <c r="A174" s="362" t="s">
        <v>5</v>
      </c>
      <c r="B174" s="363" t="s">
        <v>932</v>
      </c>
      <c r="C174" s="364"/>
      <c r="D174" s="345"/>
      <c r="E174" s="345"/>
      <c r="F174" s="345"/>
      <c r="G174" s="345"/>
      <c r="H174" s="345"/>
      <c r="I174" s="345"/>
      <c r="J174" s="345"/>
      <c r="K174" s="345"/>
      <c r="L174" s="345"/>
      <c r="M174" s="345"/>
      <c r="N174" s="345"/>
      <c r="O174" s="345"/>
      <c r="P174" s="345"/>
      <c r="Q174" s="345"/>
      <c r="R174" s="345"/>
      <c r="S174" s="345"/>
      <c r="T174" s="345"/>
      <c r="U174" s="345"/>
    </row>
    <row r="175" spans="1:21">
      <c r="A175" s="338" t="s">
        <v>7</v>
      </c>
      <c r="B175" s="46" t="s">
        <v>779</v>
      </c>
      <c r="C175" s="337"/>
      <c r="D175" s="46"/>
      <c r="E175" s="46"/>
      <c r="F175" s="46"/>
      <c r="G175" s="46"/>
      <c r="H175" s="46"/>
      <c r="I175" s="46"/>
      <c r="J175" s="46"/>
      <c r="K175" s="46"/>
      <c r="L175" s="46"/>
      <c r="M175" s="46"/>
      <c r="N175" s="46"/>
      <c r="O175" s="46"/>
      <c r="P175" s="46"/>
      <c r="Q175" s="46"/>
      <c r="R175" s="46"/>
      <c r="S175" s="46"/>
      <c r="T175" s="46"/>
      <c r="U175" s="46"/>
    </row>
    <row r="176" spans="1:21">
      <c r="A176" s="416" t="s">
        <v>9</v>
      </c>
      <c r="B176" s="46" t="s">
        <v>933</v>
      </c>
      <c r="C176" s="337"/>
      <c r="D176" s="46"/>
      <c r="E176" s="46"/>
      <c r="F176" s="46"/>
      <c r="G176" s="46"/>
      <c r="H176" s="46"/>
      <c r="I176" s="46"/>
      <c r="J176" s="46"/>
      <c r="K176" s="46"/>
      <c r="L176" s="46"/>
      <c r="M176" s="46"/>
      <c r="N176" s="46"/>
      <c r="O176" s="46"/>
      <c r="P176" s="46"/>
      <c r="Q176" s="46"/>
      <c r="R176" s="46"/>
      <c r="S176" s="46"/>
      <c r="T176" s="46"/>
      <c r="U176" s="46"/>
    </row>
    <row r="177" spans="1:21" ht="15.75" customHeight="1">
      <c r="A177" s="338" t="s">
        <v>11</v>
      </c>
      <c r="B177" s="339" t="s">
        <v>789</v>
      </c>
      <c r="C177" s="46"/>
      <c r="D177" s="46"/>
      <c r="E177" s="46"/>
      <c r="F177" s="46"/>
      <c r="G177" s="46"/>
      <c r="H177" s="46"/>
      <c r="I177" s="46"/>
      <c r="J177" s="46"/>
      <c r="K177" s="46"/>
      <c r="L177" s="46"/>
      <c r="M177" s="46"/>
      <c r="N177" s="46"/>
      <c r="O177" s="46"/>
      <c r="P177" s="46"/>
      <c r="Q177" s="46"/>
      <c r="R177" s="46"/>
      <c r="S177" s="46"/>
      <c r="T177" s="46"/>
      <c r="U177" s="46"/>
    </row>
    <row r="178" spans="1:21">
      <c r="A178" s="338" t="s">
        <v>13</v>
      </c>
      <c r="B178" s="46" t="s">
        <v>14</v>
      </c>
      <c r="C178" s="46"/>
      <c r="D178" s="46"/>
      <c r="E178" s="46"/>
      <c r="F178" s="46"/>
      <c r="G178" s="46"/>
      <c r="H178" s="46"/>
      <c r="I178" s="46"/>
      <c r="J178" s="46"/>
      <c r="K178" s="46"/>
      <c r="L178" s="46"/>
      <c r="M178" s="46"/>
      <c r="N178" s="46"/>
      <c r="O178" s="46"/>
      <c r="P178" s="46"/>
      <c r="Q178" s="46"/>
      <c r="R178" s="46"/>
      <c r="S178" s="46"/>
      <c r="T178" s="46"/>
      <c r="U178" s="46"/>
    </row>
    <row r="179" spans="1:21">
      <c r="A179" s="338" t="s">
        <v>15</v>
      </c>
      <c r="B179" s="417">
        <f>B184</f>
        <v>0.02</v>
      </c>
      <c r="C179" s="46"/>
      <c r="D179" s="46"/>
      <c r="E179" s="46"/>
      <c r="F179" s="46"/>
      <c r="G179" s="46"/>
      <c r="H179" s="46"/>
      <c r="I179" s="46"/>
      <c r="J179" s="46"/>
      <c r="K179" s="46"/>
      <c r="L179" s="46"/>
      <c r="M179" s="46"/>
      <c r="N179" s="46"/>
      <c r="O179" s="46"/>
      <c r="P179" s="46"/>
      <c r="Q179" s="46"/>
      <c r="R179" s="46"/>
      <c r="S179" s="46"/>
      <c r="T179" s="46"/>
      <c r="U179" s="46"/>
    </row>
    <row r="180" spans="1:21">
      <c r="A180" s="338" t="s">
        <v>16</v>
      </c>
      <c r="B180" s="46" t="s">
        <v>17</v>
      </c>
      <c r="C180" s="46"/>
      <c r="D180" s="46"/>
      <c r="E180" s="46"/>
      <c r="F180" s="46"/>
      <c r="G180" s="46"/>
      <c r="H180" s="46"/>
      <c r="I180" s="46"/>
      <c r="J180" s="46"/>
      <c r="K180" s="46"/>
      <c r="L180" s="46"/>
      <c r="M180" s="46"/>
      <c r="N180" s="46"/>
      <c r="O180" s="46"/>
      <c r="P180" s="46"/>
      <c r="Q180" s="46"/>
      <c r="R180" s="46"/>
      <c r="S180" s="46"/>
      <c r="T180" s="46"/>
      <c r="U180" s="46"/>
    </row>
    <row r="181" spans="1:21">
      <c r="A181" s="338" t="s">
        <v>18</v>
      </c>
      <c r="B181" s="46" t="s">
        <v>113</v>
      </c>
      <c r="C181" s="46"/>
      <c r="D181" s="46"/>
      <c r="E181" s="46"/>
      <c r="F181" s="46"/>
      <c r="G181" s="46"/>
      <c r="H181" s="46"/>
      <c r="I181" s="46"/>
      <c r="J181" s="46"/>
      <c r="K181" s="46"/>
      <c r="L181" s="46"/>
      <c r="M181" s="46"/>
      <c r="N181" s="46"/>
      <c r="O181" s="46"/>
      <c r="P181" s="46"/>
      <c r="Q181" s="46"/>
      <c r="R181" s="46"/>
      <c r="S181" s="46"/>
      <c r="T181" s="46"/>
      <c r="U181" s="46"/>
    </row>
    <row r="182" spans="1:21">
      <c r="A182" s="335" t="s">
        <v>19</v>
      </c>
      <c r="B182" s="46"/>
      <c r="C182" s="46"/>
      <c r="D182" s="46"/>
      <c r="E182" s="46"/>
      <c r="F182" s="46"/>
      <c r="G182" s="46"/>
      <c r="H182" s="46"/>
      <c r="I182" s="46"/>
      <c r="J182" s="46"/>
      <c r="K182" s="46"/>
      <c r="L182" s="46"/>
      <c r="M182" s="46"/>
      <c r="N182" s="46"/>
      <c r="O182" s="46"/>
      <c r="P182" s="46"/>
      <c r="Q182" s="46"/>
      <c r="R182" s="46"/>
      <c r="S182" s="46"/>
      <c r="T182" s="46"/>
      <c r="U182" s="46"/>
    </row>
    <row r="183" spans="1:21">
      <c r="A183" s="336" t="s">
        <v>20</v>
      </c>
      <c r="B183" s="336" t="s">
        <v>21</v>
      </c>
      <c r="C183" s="336" t="s">
        <v>18</v>
      </c>
      <c r="D183" s="336" t="s">
        <v>22</v>
      </c>
      <c r="E183" s="336" t="s">
        <v>7</v>
      </c>
      <c r="F183" s="336" t="s">
        <v>13</v>
      </c>
      <c r="G183" s="336" t="s">
        <v>16</v>
      </c>
      <c r="H183" s="336" t="s">
        <v>23</v>
      </c>
      <c r="I183" s="336" t="s">
        <v>24</v>
      </c>
      <c r="J183" s="336" t="s">
        <v>25</v>
      </c>
      <c r="K183" s="336" t="s">
        <v>26</v>
      </c>
      <c r="L183" s="336" t="s">
        <v>27</v>
      </c>
      <c r="M183" s="336" t="s">
        <v>28</v>
      </c>
      <c r="N183" s="336" t="s">
        <v>11</v>
      </c>
      <c r="O183" s="46"/>
      <c r="P183" s="46"/>
      <c r="Q183" s="46"/>
      <c r="R183" s="46"/>
      <c r="S183" s="46"/>
      <c r="T183" s="46"/>
      <c r="U183" s="46"/>
    </row>
    <row r="184" spans="1:21">
      <c r="A184" s="62" t="s">
        <v>932</v>
      </c>
      <c r="B184" s="407">
        <v>0.02</v>
      </c>
      <c r="C184" s="46" t="s">
        <v>113</v>
      </c>
      <c r="D184" s="400" t="s">
        <v>2</v>
      </c>
      <c r="E184" s="46" t="s">
        <v>29</v>
      </c>
      <c r="F184" s="32" t="s">
        <v>14</v>
      </c>
      <c r="G184" s="46" t="s">
        <v>30</v>
      </c>
      <c r="H184" s="46">
        <v>1</v>
      </c>
      <c r="I184" s="407">
        <f>B184</f>
        <v>0.02</v>
      </c>
      <c r="J184" s="46" t="s">
        <v>31</v>
      </c>
      <c r="K184" s="46" t="s">
        <v>31</v>
      </c>
      <c r="L184" s="46" t="s">
        <v>31</v>
      </c>
      <c r="M184" s="46" t="s">
        <v>31</v>
      </c>
      <c r="N184" s="46"/>
      <c r="O184" s="46"/>
      <c r="P184" s="46"/>
      <c r="Q184" s="46"/>
      <c r="R184" s="46"/>
      <c r="S184" s="46"/>
      <c r="T184" s="46"/>
      <c r="U184" s="46"/>
    </row>
    <row r="185" spans="1:21">
      <c r="A185" s="46" t="s">
        <v>934</v>
      </c>
      <c r="B185" s="407">
        <v>0.02</v>
      </c>
      <c r="C185" s="46" t="s">
        <v>113</v>
      </c>
      <c r="D185" s="400" t="s">
        <v>2</v>
      </c>
      <c r="E185" s="46" t="s">
        <v>29</v>
      </c>
      <c r="F185" s="32" t="s">
        <v>14</v>
      </c>
      <c r="G185" s="46" t="s">
        <v>33</v>
      </c>
      <c r="H185" s="46">
        <v>1</v>
      </c>
      <c r="I185" s="407">
        <f>B185</f>
        <v>0.02</v>
      </c>
      <c r="J185" s="46" t="s">
        <v>31</v>
      </c>
      <c r="K185" s="46" t="s">
        <v>31</v>
      </c>
      <c r="L185" s="46" t="s">
        <v>31</v>
      </c>
      <c r="M185" s="46" t="s">
        <v>31</v>
      </c>
      <c r="N185" s="46"/>
      <c r="O185" s="46"/>
      <c r="P185" s="46"/>
      <c r="Q185" s="46"/>
      <c r="R185" s="46"/>
      <c r="S185" s="46"/>
      <c r="T185" s="46"/>
      <c r="U185" s="46"/>
    </row>
    <row r="186" spans="1:21">
      <c r="A186" s="338" t="s">
        <v>75</v>
      </c>
      <c r="B186" s="342">
        <f>P186</f>
        <v>1.1499999999999999</v>
      </c>
      <c r="C186" s="46" t="s">
        <v>39</v>
      </c>
      <c r="D186" s="46" t="s">
        <v>40</v>
      </c>
      <c r="E186" s="46" t="s">
        <v>29</v>
      </c>
      <c r="F186" s="32" t="s">
        <v>35</v>
      </c>
      <c r="G186" s="46" t="s">
        <v>33</v>
      </c>
      <c r="H186" s="46">
        <v>2</v>
      </c>
      <c r="I186" s="46">
        <f t="shared" ref="I186:I187" si="18">LN(B186)</f>
        <v>0.13976194237515863</v>
      </c>
      <c r="J186" s="46">
        <v>0.20928449536456342</v>
      </c>
      <c r="K186" s="46" t="s">
        <v>31</v>
      </c>
      <c r="L186" s="46" t="s">
        <v>31</v>
      </c>
      <c r="M186" s="46" t="s">
        <v>31</v>
      </c>
      <c r="N186" s="46"/>
      <c r="O186" s="393" t="s">
        <v>216</v>
      </c>
      <c r="P186" s="406">
        <f>0.36+0.79</f>
        <v>1.1499999999999999</v>
      </c>
      <c r="Q186" s="46"/>
      <c r="R186" s="46"/>
      <c r="S186" s="46"/>
      <c r="T186" s="46"/>
      <c r="U186" s="46"/>
    </row>
    <row r="187" spans="1:21">
      <c r="A187" s="338" t="s">
        <v>792</v>
      </c>
      <c r="B187" s="46">
        <f>R187</f>
        <v>2.3E-3</v>
      </c>
      <c r="C187" s="46" t="s">
        <v>37</v>
      </c>
      <c r="D187" s="46" t="s">
        <v>40</v>
      </c>
      <c r="E187" s="46" t="s">
        <v>29</v>
      </c>
      <c r="F187" s="32" t="s">
        <v>741</v>
      </c>
      <c r="G187" s="46" t="s">
        <v>33</v>
      </c>
      <c r="H187" s="46">
        <v>2</v>
      </c>
      <c r="I187" s="46">
        <f t="shared" si="18"/>
        <v>-6.074846156047033</v>
      </c>
      <c r="J187" s="46">
        <v>0.20928449536456342</v>
      </c>
      <c r="K187" s="46" t="s">
        <v>31</v>
      </c>
      <c r="L187" s="46" t="s">
        <v>31</v>
      </c>
      <c r="M187" s="46" t="s">
        <v>31</v>
      </c>
      <c r="N187" s="46"/>
      <c r="O187" s="393" t="s">
        <v>575</v>
      </c>
      <c r="P187" s="406">
        <v>2.2999999999999998</v>
      </c>
      <c r="Q187" s="46" t="s">
        <v>221</v>
      </c>
      <c r="R187" s="46">
        <f>P187*0.001</f>
        <v>2.3E-3</v>
      </c>
      <c r="S187" s="46"/>
      <c r="T187" s="46"/>
      <c r="U187" s="46"/>
    </row>
    <row r="188" spans="1:21">
      <c r="A188" s="32" t="s">
        <v>530</v>
      </c>
      <c r="B188" s="46">
        <f>R188</f>
        <v>2.8E-3</v>
      </c>
      <c r="C188" s="46" t="s">
        <v>37</v>
      </c>
      <c r="D188" s="46" t="s">
        <v>40</v>
      </c>
      <c r="E188" s="46" t="s">
        <v>29</v>
      </c>
      <c r="F188" s="46" t="s">
        <v>35</v>
      </c>
      <c r="G188" s="46" t="s">
        <v>33</v>
      </c>
      <c r="H188" s="46">
        <v>2</v>
      </c>
      <c r="I188" s="46">
        <f>LN(B188)</f>
        <v>-5.8781358618009785</v>
      </c>
      <c r="J188" s="46">
        <v>0.20928449536456342</v>
      </c>
      <c r="K188" s="46" t="s">
        <v>31</v>
      </c>
      <c r="L188" s="46" t="s">
        <v>31</v>
      </c>
      <c r="M188" s="46" t="s">
        <v>31</v>
      </c>
      <c r="N188" s="46"/>
      <c r="O188" s="393" t="s">
        <v>575</v>
      </c>
      <c r="P188" s="406">
        <v>2.8</v>
      </c>
      <c r="Q188" s="46" t="s">
        <v>221</v>
      </c>
      <c r="R188" s="46">
        <f>P188*0.001</f>
        <v>2.8E-3</v>
      </c>
      <c r="S188" s="46"/>
      <c r="T188" s="46"/>
      <c r="U188" s="46"/>
    </row>
    <row r="189" spans="1:21">
      <c r="A189" s="46" t="s">
        <v>777</v>
      </c>
      <c r="B189" s="46">
        <f>R189</f>
        <v>2.8E-3</v>
      </c>
      <c r="C189" s="46" t="s">
        <v>37</v>
      </c>
      <c r="D189" s="400" t="s">
        <v>2</v>
      </c>
      <c r="E189" s="46" t="s">
        <v>29</v>
      </c>
      <c r="F189" s="32" t="s">
        <v>741</v>
      </c>
      <c r="G189" s="46" t="s">
        <v>33</v>
      </c>
      <c r="H189" s="46">
        <v>2</v>
      </c>
      <c r="I189" s="46">
        <f t="shared" ref="I189" si="19">LN(B189)</f>
        <v>-5.8781358618009785</v>
      </c>
      <c r="J189" s="46">
        <v>0.20928449536456342</v>
      </c>
      <c r="K189" s="46" t="s">
        <v>31</v>
      </c>
      <c r="L189" s="46" t="s">
        <v>31</v>
      </c>
      <c r="M189" s="46" t="s">
        <v>31</v>
      </c>
      <c r="N189" s="46"/>
      <c r="O189" s="439" t="s">
        <v>575</v>
      </c>
      <c r="P189" s="440">
        <v>2.8</v>
      </c>
      <c r="Q189" s="46" t="s">
        <v>221</v>
      </c>
      <c r="R189" s="46">
        <f t="shared" ref="R189" si="20">0.001*P189</f>
        <v>2.8E-3</v>
      </c>
      <c r="S189" s="46"/>
      <c r="T189" s="46"/>
      <c r="U189" s="46"/>
    </row>
    <row r="190" spans="1:21" s="41" customFormat="1">
      <c r="A190" s="362" t="s">
        <v>5</v>
      </c>
      <c r="B190" s="363" t="s">
        <v>934</v>
      </c>
      <c r="C190" s="364"/>
      <c r="D190" s="345"/>
      <c r="E190" s="345"/>
      <c r="F190" s="345"/>
      <c r="G190" s="345"/>
      <c r="H190" s="345"/>
      <c r="I190" s="345"/>
      <c r="J190" s="345"/>
      <c r="K190" s="345"/>
      <c r="L190" s="345"/>
      <c r="M190" s="345"/>
      <c r="N190" s="345"/>
      <c r="O190" s="345"/>
      <c r="P190" s="345"/>
      <c r="Q190" s="345"/>
      <c r="R190" s="345"/>
      <c r="S190" s="345"/>
      <c r="T190" s="345"/>
      <c r="U190" s="345"/>
    </row>
    <row r="191" spans="1:21">
      <c r="A191" s="338" t="s">
        <v>7</v>
      </c>
      <c r="B191" s="46" t="s">
        <v>779</v>
      </c>
      <c r="C191" s="337"/>
      <c r="D191" s="46"/>
      <c r="E191" s="46"/>
      <c r="F191" s="46"/>
      <c r="G191" s="46"/>
      <c r="H191" s="46"/>
      <c r="I191" s="46"/>
      <c r="J191" s="46"/>
      <c r="K191" s="46"/>
      <c r="L191" s="46"/>
      <c r="M191" s="46"/>
      <c r="N191" s="46"/>
      <c r="O191" s="46"/>
      <c r="P191" s="46"/>
      <c r="Q191" s="46"/>
      <c r="R191" s="46"/>
      <c r="S191" s="46"/>
      <c r="T191" s="46"/>
      <c r="U191" s="46"/>
    </row>
    <row r="192" spans="1:21">
      <c r="A192" s="416" t="s">
        <v>9</v>
      </c>
      <c r="B192" s="46" t="s">
        <v>935</v>
      </c>
      <c r="C192" s="337"/>
      <c r="D192" s="46"/>
      <c r="E192" s="46"/>
      <c r="F192" s="46"/>
      <c r="G192" s="46"/>
      <c r="H192" s="46"/>
      <c r="I192" s="46"/>
      <c r="J192" s="46"/>
      <c r="K192" s="46"/>
      <c r="L192" s="46"/>
      <c r="M192" s="46"/>
      <c r="N192" s="46"/>
      <c r="O192" s="46"/>
      <c r="P192" s="46"/>
      <c r="Q192" s="46"/>
      <c r="R192" s="46"/>
      <c r="S192" s="46"/>
      <c r="T192" s="46"/>
      <c r="U192" s="46"/>
    </row>
    <row r="193" spans="1:21" ht="15.75" customHeight="1">
      <c r="A193" s="338" t="s">
        <v>11</v>
      </c>
      <c r="B193" s="339" t="s">
        <v>789</v>
      </c>
      <c r="C193" s="46"/>
      <c r="D193" s="46"/>
      <c r="E193" s="46"/>
      <c r="F193" s="46"/>
      <c r="G193" s="46"/>
      <c r="H193" s="46"/>
      <c r="I193" s="46"/>
      <c r="J193" s="46"/>
      <c r="K193" s="46"/>
      <c r="L193" s="46"/>
      <c r="M193" s="46"/>
      <c r="N193" s="46"/>
      <c r="O193" s="46"/>
      <c r="P193" s="46"/>
      <c r="Q193" s="46"/>
      <c r="R193" s="46"/>
      <c r="S193" s="46"/>
      <c r="T193" s="46"/>
      <c r="U193" s="46"/>
    </row>
    <row r="194" spans="1:21">
      <c r="A194" s="338" t="s">
        <v>13</v>
      </c>
      <c r="B194" s="46" t="s">
        <v>14</v>
      </c>
      <c r="C194" s="46"/>
      <c r="D194" s="46"/>
      <c r="E194" s="46"/>
      <c r="F194" s="46"/>
      <c r="G194" s="46"/>
      <c r="H194" s="46"/>
      <c r="I194" s="46"/>
      <c r="J194" s="46"/>
      <c r="K194" s="46"/>
      <c r="L194" s="46"/>
      <c r="M194" s="46"/>
      <c r="N194" s="46"/>
      <c r="O194" s="46"/>
      <c r="P194" s="46"/>
      <c r="Q194" s="46"/>
      <c r="R194" s="46"/>
      <c r="S194" s="46"/>
      <c r="T194" s="46"/>
      <c r="U194" s="46"/>
    </row>
    <row r="195" spans="1:21">
      <c r="A195" s="338" t="s">
        <v>15</v>
      </c>
      <c r="B195" s="417">
        <f>B200</f>
        <v>0.13</v>
      </c>
      <c r="C195" s="46"/>
      <c r="D195" s="46"/>
      <c r="E195" s="46"/>
      <c r="F195" s="46"/>
      <c r="G195" s="46"/>
      <c r="H195" s="46"/>
      <c r="I195" s="46"/>
      <c r="J195" s="46"/>
      <c r="K195" s="46"/>
      <c r="L195" s="46"/>
      <c r="M195" s="46"/>
      <c r="N195" s="46"/>
      <c r="O195" s="46"/>
      <c r="P195" s="46"/>
      <c r="Q195" s="46"/>
      <c r="R195" s="46"/>
      <c r="S195" s="46"/>
      <c r="T195" s="46"/>
      <c r="U195" s="46"/>
    </row>
    <row r="196" spans="1:21">
      <c r="A196" s="338" t="s">
        <v>16</v>
      </c>
      <c r="B196" s="46" t="s">
        <v>17</v>
      </c>
      <c r="C196" s="46"/>
      <c r="D196" s="46"/>
      <c r="E196" s="46"/>
      <c r="F196" s="46"/>
      <c r="G196" s="46"/>
      <c r="H196" s="46"/>
      <c r="I196" s="46"/>
      <c r="J196" s="46"/>
      <c r="K196" s="46"/>
      <c r="L196" s="46"/>
      <c r="M196" s="46"/>
      <c r="N196" s="46"/>
      <c r="O196" s="46"/>
      <c r="P196" s="46"/>
      <c r="Q196" s="46"/>
      <c r="R196" s="336" t="s">
        <v>880</v>
      </c>
      <c r="S196" s="46"/>
      <c r="T196" s="46"/>
      <c r="U196" s="46"/>
    </row>
    <row r="197" spans="1:21">
      <c r="A197" s="338" t="s">
        <v>18</v>
      </c>
      <c r="B197" s="46" t="s">
        <v>113</v>
      </c>
      <c r="C197" s="46"/>
      <c r="D197" s="46"/>
      <c r="E197" s="46"/>
      <c r="F197" s="46"/>
      <c r="G197" s="46"/>
      <c r="H197" s="46"/>
      <c r="I197" s="46"/>
      <c r="J197" s="46"/>
      <c r="K197" s="46"/>
      <c r="L197" s="46"/>
      <c r="M197" s="46"/>
      <c r="N197" s="46"/>
      <c r="O197" s="46"/>
      <c r="P197" s="46"/>
      <c r="Q197" s="46"/>
      <c r="R197" s="46" t="s">
        <v>881</v>
      </c>
      <c r="S197" s="46">
        <v>8900</v>
      </c>
      <c r="T197" s="46" t="s">
        <v>882</v>
      </c>
      <c r="U197" s="46"/>
    </row>
    <row r="198" spans="1:21">
      <c r="A198" s="335" t="s">
        <v>19</v>
      </c>
      <c r="B198" s="46"/>
      <c r="C198" s="46"/>
      <c r="D198" s="46"/>
      <c r="E198" s="46"/>
      <c r="F198" s="46"/>
      <c r="G198" s="46"/>
      <c r="H198" s="46"/>
      <c r="I198" s="46"/>
      <c r="J198" s="46"/>
      <c r="K198" s="46"/>
      <c r="L198" s="46"/>
      <c r="M198" s="46"/>
      <c r="N198" s="46"/>
      <c r="O198" s="46"/>
      <c r="P198" s="46"/>
      <c r="Q198" s="46"/>
      <c r="R198" s="46" t="s">
        <v>883</v>
      </c>
      <c r="S198" s="46">
        <f>5*10^-6</f>
        <v>4.9999999999999996E-6</v>
      </c>
      <c r="T198" s="46" t="s">
        <v>884</v>
      </c>
      <c r="U198" s="46"/>
    </row>
    <row r="199" spans="1:21">
      <c r="A199" s="336" t="s">
        <v>20</v>
      </c>
      <c r="B199" s="336" t="s">
        <v>21</v>
      </c>
      <c r="C199" s="336" t="s">
        <v>18</v>
      </c>
      <c r="D199" s="336" t="s">
        <v>22</v>
      </c>
      <c r="E199" s="336" t="s">
        <v>7</v>
      </c>
      <c r="F199" s="336" t="s">
        <v>13</v>
      </c>
      <c r="G199" s="336" t="s">
        <v>16</v>
      </c>
      <c r="H199" s="336" t="s">
        <v>23</v>
      </c>
      <c r="I199" s="336" t="s">
        <v>24</v>
      </c>
      <c r="J199" s="336" t="s">
        <v>25</v>
      </c>
      <c r="K199" s="336" t="s">
        <v>26</v>
      </c>
      <c r="L199" s="336" t="s">
        <v>27</v>
      </c>
      <c r="M199" s="336" t="s">
        <v>28</v>
      </c>
      <c r="N199" s="336" t="s">
        <v>11</v>
      </c>
      <c r="O199" s="46"/>
      <c r="P199" s="46"/>
      <c r="Q199" s="46"/>
      <c r="R199" s="419" t="s">
        <v>885</v>
      </c>
      <c r="S199" s="420">
        <f>S198*S197</f>
        <v>4.4499999999999998E-2</v>
      </c>
      <c r="T199" s="421" t="s">
        <v>886</v>
      </c>
      <c r="U199" s="46"/>
    </row>
    <row r="200" spans="1:21">
      <c r="A200" s="46" t="s">
        <v>934</v>
      </c>
      <c r="B200" s="407">
        <v>0.13</v>
      </c>
      <c r="C200" s="46" t="s">
        <v>113</v>
      </c>
      <c r="D200" s="400" t="s">
        <v>2</v>
      </c>
      <c r="E200" s="46" t="s">
        <v>29</v>
      </c>
      <c r="F200" s="46" t="s">
        <v>14</v>
      </c>
      <c r="G200" s="46" t="s">
        <v>30</v>
      </c>
      <c r="H200" s="46">
        <v>1</v>
      </c>
      <c r="I200" s="46">
        <f t="shared" ref="I200:I202" si="21">B200</f>
        <v>0.13</v>
      </c>
      <c r="J200" s="46" t="s">
        <v>31</v>
      </c>
      <c r="K200" s="46" t="s">
        <v>31</v>
      </c>
      <c r="L200" s="46" t="s">
        <v>31</v>
      </c>
      <c r="M200" s="46" t="s">
        <v>31</v>
      </c>
      <c r="N200" s="46"/>
      <c r="O200" s="441" t="s">
        <v>887</v>
      </c>
      <c r="P200" s="442">
        <f>B200*100</f>
        <v>13</v>
      </c>
      <c r="Q200" s="46"/>
      <c r="R200" s="46"/>
      <c r="S200" s="46"/>
      <c r="T200" s="46"/>
      <c r="U200" s="46"/>
    </row>
    <row r="201" spans="1:21">
      <c r="A201" s="46" t="s">
        <v>936</v>
      </c>
      <c r="B201" s="407">
        <v>0.13</v>
      </c>
      <c r="C201" s="46" t="s">
        <v>113</v>
      </c>
      <c r="D201" s="400" t="s">
        <v>2</v>
      </c>
      <c r="E201" s="46" t="s">
        <v>29</v>
      </c>
      <c r="F201" s="46" t="s">
        <v>14</v>
      </c>
      <c r="G201" s="46" t="s">
        <v>33</v>
      </c>
      <c r="H201" s="46">
        <v>1</v>
      </c>
      <c r="I201" s="46">
        <f t="shared" si="21"/>
        <v>0.13</v>
      </c>
      <c r="J201" s="46">
        <v>7.2284161474004766E-2</v>
      </c>
      <c r="K201" s="46" t="s">
        <v>31</v>
      </c>
      <c r="L201" s="46" t="s">
        <v>31</v>
      </c>
      <c r="M201" s="46" t="s">
        <v>31</v>
      </c>
      <c r="N201" s="46"/>
      <c r="O201" s="393" t="s">
        <v>887</v>
      </c>
      <c r="P201" s="406">
        <f>B201*100</f>
        <v>13</v>
      </c>
      <c r="Q201" s="46"/>
      <c r="R201" s="46" t="s">
        <v>548</v>
      </c>
      <c r="S201" s="46"/>
      <c r="T201" s="46"/>
      <c r="U201" s="402"/>
    </row>
    <row r="202" spans="1:21">
      <c r="A202" s="62" t="s">
        <v>867</v>
      </c>
      <c r="B202" s="412">
        <f>T202</f>
        <v>7.5650000000000005E-3</v>
      </c>
      <c r="C202" s="46" t="s">
        <v>37</v>
      </c>
      <c r="D202" s="400" t="s">
        <v>2</v>
      </c>
      <c r="E202" s="46" t="s">
        <v>29</v>
      </c>
      <c r="F202" s="32" t="s">
        <v>14</v>
      </c>
      <c r="G202" s="46" t="s">
        <v>33</v>
      </c>
      <c r="H202" s="46">
        <v>1</v>
      </c>
      <c r="I202" s="46">
        <f t="shared" si="21"/>
        <v>7.5650000000000005E-3</v>
      </c>
      <c r="J202" s="46">
        <v>7.2284161474004766E-2</v>
      </c>
      <c r="K202" s="46" t="s">
        <v>31</v>
      </c>
      <c r="L202" s="46" t="s">
        <v>31</v>
      </c>
      <c r="M202" s="46" t="s">
        <v>31</v>
      </c>
      <c r="N202" s="46"/>
      <c r="O202" s="62"/>
      <c r="P202" s="413"/>
      <c r="Q202" s="46"/>
      <c r="R202" s="422">
        <v>0.17</v>
      </c>
      <c r="S202" s="423" t="s">
        <v>605</v>
      </c>
      <c r="T202" s="422">
        <f>R202*S199</f>
        <v>7.5650000000000005E-3</v>
      </c>
      <c r="U202" s="423" t="s">
        <v>221</v>
      </c>
    </row>
    <row r="203" spans="1:21">
      <c r="A203" s="338" t="s">
        <v>792</v>
      </c>
      <c r="B203" s="46">
        <v>1.3</v>
      </c>
      <c r="C203" s="46" t="s">
        <v>37</v>
      </c>
      <c r="D203" s="46" t="s">
        <v>40</v>
      </c>
      <c r="E203" s="46" t="s">
        <v>29</v>
      </c>
      <c r="F203" s="32" t="s">
        <v>741</v>
      </c>
      <c r="G203" s="46" t="s">
        <v>33</v>
      </c>
      <c r="H203" s="46">
        <v>2</v>
      </c>
      <c r="I203" s="46">
        <f t="shared" ref="I203" si="22">LN(B203)</f>
        <v>0.26236426446749106</v>
      </c>
      <c r="J203" s="46">
        <v>7.2284161474004766E-2</v>
      </c>
      <c r="K203" s="46" t="s">
        <v>31</v>
      </c>
      <c r="L203" s="46" t="s">
        <v>31</v>
      </c>
      <c r="M203" s="46" t="s">
        <v>31</v>
      </c>
      <c r="N203" s="46"/>
      <c r="O203" s="62"/>
      <c r="P203" s="413"/>
      <c r="Q203" s="46"/>
      <c r="R203" s="46"/>
      <c r="S203" s="46"/>
      <c r="T203" s="46"/>
      <c r="U203" s="46"/>
    </row>
    <row r="204" spans="1:21">
      <c r="A204" s="32" t="s">
        <v>869</v>
      </c>
      <c r="B204" s="443">
        <f>0.1*10^(-6)</f>
        <v>9.9999999999999995E-8</v>
      </c>
      <c r="C204" s="46" t="s">
        <v>37</v>
      </c>
      <c r="D204" s="46" t="s">
        <v>40</v>
      </c>
      <c r="E204" s="46" t="s">
        <v>29</v>
      </c>
      <c r="F204" s="32" t="s">
        <v>58</v>
      </c>
      <c r="G204" s="46" t="s">
        <v>33</v>
      </c>
      <c r="H204" s="46">
        <v>2</v>
      </c>
      <c r="I204" s="46">
        <f>LN(B204)</f>
        <v>-16.11809565095832</v>
      </c>
      <c r="J204" s="46">
        <v>7.2284161474004766E-2</v>
      </c>
      <c r="K204" s="46" t="s">
        <v>31</v>
      </c>
      <c r="L204" s="46" t="s">
        <v>31</v>
      </c>
      <c r="M204" s="46" t="s">
        <v>31</v>
      </c>
      <c r="N204" s="46"/>
      <c r="O204" s="62"/>
      <c r="P204" s="413"/>
      <c r="Q204" s="46"/>
      <c r="R204" s="46"/>
      <c r="S204" s="46"/>
      <c r="T204" s="46"/>
      <c r="U204" s="46"/>
    </row>
    <row r="205" spans="1:21">
      <c r="A205" s="32" t="s">
        <v>226</v>
      </c>
      <c r="B205" s="46">
        <f>0.001*1.3</f>
        <v>1.3000000000000002E-3</v>
      </c>
      <c r="C205" s="46" t="s">
        <v>42</v>
      </c>
      <c r="D205" s="46" t="s">
        <v>40</v>
      </c>
      <c r="E205" s="46" t="s">
        <v>29</v>
      </c>
      <c r="F205" s="32" t="s">
        <v>741</v>
      </c>
      <c r="G205" s="46" t="s">
        <v>33</v>
      </c>
      <c r="H205" s="46">
        <v>2</v>
      </c>
      <c r="I205" s="46">
        <f t="shared" ref="I205" si="23">LN(B205)</f>
        <v>-6.6453910145146455</v>
      </c>
      <c r="J205" s="46">
        <v>7.2284161474004766E-2</v>
      </c>
      <c r="K205" s="46" t="s">
        <v>31</v>
      </c>
      <c r="L205" s="46" t="s">
        <v>31</v>
      </c>
      <c r="M205" s="46" t="s">
        <v>31</v>
      </c>
      <c r="N205" s="46"/>
      <c r="O205" s="62"/>
      <c r="P205" s="413"/>
      <c r="Q205" s="427"/>
      <c r="R205" s="46"/>
      <c r="S205" s="46"/>
      <c r="T205" s="46"/>
      <c r="U205" s="46"/>
    </row>
    <row r="206" spans="1:21" s="41" customFormat="1">
      <c r="A206" s="362" t="s">
        <v>5</v>
      </c>
      <c r="B206" s="363" t="s">
        <v>936</v>
      </c>
      <c r="C206" s="364"/>
      <c r="D206" s="345"/>
      <c r="E206" s="345"/>
      <c r="F206" s="345"/>
      <c r="G206" s="345"/>
      <c r="H206" s="345"/>
      <c r="I206" s="345"/>
      <c r="J206" s="345"/>
      <c r="K206" s="345"/>
      <c r="L206" s="345"/>
      <c r="M206" s="345"/>
      <c r="N206" s="345"/>
      <c r="O206" s="345"/>
      <c r="P206" s="345"/>
      <c r="Q206" s="345"/>
      <c r="R206" s="345"/>
      <c r="S206" s="345"/>
      <c r="T206" s="345"/>
      <c r="U206" s="345"/>
    </row>
    <row r="207" spans="1:21">
      <c r="A207" s="338" t="s">
        <v>7</v>
      </c>
      <c r="B207" s="46" t="s">
        <v>779</v>
      </c>
      <c r="C207" s="337"/>
      <c r="D207" s="46"/>
      <c r="E207" s="46"/>
      <c r="F207" s="46"/>
      <c r="G207" s="46"/>
      <c r="H207" s="46"/>
      <c r="I207" s="46"/>
      <c r="J207" s="46"/>
      <c r="K207" s="46"/>
      <c r="L207" s="46"/>
      <c r="M207" s="46"/>
      <c r="N207" s="46"/>
      <c r="O207" s="46"/>
      <c r="P207" s="46"/>
      <c r="Q207" s="46"/>
      <c r="R207" s="46"/>
      <c r="S207" s="46"/>
      <c r="T207" s="46"/>
      <c r="U207" s="46"/>
    </row>
    <row r="208" spans="1:21">
      <c r="A208" s="416" t="s">
        <v>9</v>
      </c>
      <c r="B208" s="46" t="s">
        <v>937</v>
      </c>
      <c r="C208" s="337"/>
      <c r="D208" s="46"/>
      <c r="E208" s="46"/>
      <c r="F208" s="46"/>
      <c r="G208" s="46"/>
      <c r="H208" s="46"/>
      <c r="I208" s="46"/>
      <c r="J208" s="46"/>
      <c r="K208" s="46"/>
      <c r="L208" s="46"/>
      <c r="M208" s="46"/>
      <c r="N208" s="46"/>
      <c r="O208" s="46"/>
      <c r="P208" s="46"/>
      <c r="Q208" s="46"/>
      <c r="R208" s="46"/>
      <c r="S208" s="46"/>
      <c r="T208" s="46"/>
      <c r="U208" s="46"/>
    </row>
    <row r="209" spans="1:21" ht="15.75" customHeight="1">
      <c r="A209" s="338" t="s">
        <v>11</v>
      </c>
      <c r="B209" s="339" t="s">
        <v>789</v>
      </c>
      <c r="C209" s="46"/>
      <c r="D209" s="46"/>
      <c r="E209" s="46"/>
      <c r="F209" s="46"/>
      <c r="G209" s="46"/>
      <c r="H209" s="46"/>
      <c r="I209" s="46"/>
      <c r="J209" s="46"/>
      <c r="K209" s="46"/>
      <c r="L209" s="46"/>
      <c r="M209" s="46"/>
      <c r="N209" s="46"/>
      <c r="O209" s="46"/>
      <c r="P209" s="46"/>
      <c r="Q209" s="46"/>
      <c r="R209" s="46"/>
      <c r="S209" s="46"/>
      <c r="T209" s="46"/>
      <c r="U209" s="46"/>
    </row>
    <row r="210" spans="1:21">
      <c r="A210" s="338" t="s">
        <v>13</v>
      </c>
      <c r="B210" s="46" t="s">
        <v>14</v>
      </c>
      <c r="C210" s="46"/>
      <c r="D210" s="46"/>
      <c r="E210" s="46"/>
      <c r="F210" s="46"/>
      <c r="G210" s="46"/>
      <c r="H210" s="46"/>
      <c r="I210" s="46"/>
      <c r="J210" s="46"/>
      <c r="K210" s="46"/>
      <c r="L210" s="46"/>
      <c r="M210" s="46"/>
      <c r="N210" s="46"/>
      <c r="O210" s="46"/>
      <c r="P210" s="46"/>
      <c r="Q210" s="46"/>
      <c r="R210" s="46"/>
      <c r="S210" s="46"/>
      <c r="T210" s="46"/>
      <c r="U210" s="46"/>
    </row>
    <row r="211" spans="1:21">
      <c r="A211" s="338" t="s">
        <v>15</v>
      </c>
      <c r="B211" s="417">
        <v>0.1</v>
      </c>
      <c r="C211" s="46"/>
      <c r="D211" s="46"/>
      <c r="E211" s="46"/>
      <c r="F211" s="46"/>
      <c r="G211" s="46"/>
      <c r="H211" s="46"/>
      <c r="I211" s="46"/>
      <c r="J211" s="46"/>
      <c r="K211" s="46"/>
      <c r="L211" s="46"/>
      <c r="M211" s="46"/>
      <c r="N211" s="46"/>
      <c r="O211" s="46"/>
      <c r="P211" s="46"/>
      <c r="Q211" s="46"/>
      <c r="R211" s="46"/>
      <c r="S211" s="46"/>
      <c r="T211" s="46"/>
      <c r="U211" s="46"/>
    </row>
    <row r="212" spans="1:21">
      <c r="A212" s="338" t="s">
        <v>16</v>
      </c>
      <c r="B212" s="46" t="s">
        <v>17</v>
      </c>
      <c r="C212" s="46"/>
      <c r="D212" s="46"/>
      <c r="E212" s="46"/>
      <c r="F212" s="46"/>
      <c r="G212" s="46"/>
      <c r="H212" s="46"/>
      <c r="I212" s="46"/>
      <c r="J212" s="46"/>
      <c r="K212" s="46"/>
      <c r="L212" s="46"/>
      <c r="M212" s="46"/>
      <c r="N212" s="46"/>
      <c r="O212" s="46"/>
      <c r="P212" s="46"/>
      <c r="Q212" s="46"/>
      <c r="R212" s="46"/>
      <c r="S212" s="46"/>
      <c r="T212" s="46"/>
      <c r="U212" s="46"/>
    </row>
    <row r="213" spans="1:21">
      <c r="A213" s="338" t="s">
        <v>18</v>
      </c>
      <c r="B213" s="46" t="s">
        <v>113</v>
      </c>
      <c r="C213" s="46"/>
      <c r="D213" s="46"/>
      <c r="E213" s="46"/>
      <c r="F213" s="46"/>
      <c r="G213" s="46"/>
      <c r="H213" s="46"/>
      <c r="I213" s="46"/>
      <c r="J213" s="46"/>
      <c r="K213" s="46"/>
      <c r="L213" s="46"/>
      <c r="M213" s="46"/>
      <c r="N213" s="46"/>
      <c r="O213" s="46"/>
      <c r="P213" s="46"/>
      <c r="Q213" s="46"/>
      <c r="R213" s="46"/>
      <c r="S213" s="407"/>
      <c r="T213" s="46"/>
      <c r="U213" s="46"/>
    </row>
    <row r="214" spans="1:21">
      <c r="A214" s="335" t="s">
        <v>19</v>
      </c>
      <c r="B214" s="46"/>
      <c r="C214" s="46"/>
      <c r="D214" s="46"/>
      <c r="E214" s="46"/>
      <c r="F214" s="46"/>
      <c r="G214" s="46"/>
      <c r="H214" s="46"/>
      <c r="I214" s="46"/>
      <c r="J214" s="46"/>
      <c r="K214" s="46"/>
      <c r="L214" s="46"/>
      <c r="M214" s="46"/>
      <c r="N214" s="46"/>
      <c r="O214" s="46"/>
      <c r="P214" s="46"/>
      <c r="Q214" s="46"/>
      <c r="R214" s="46"/>
      <c r="S214" s="46"/>
      <c r="T214" s="46"/>
      <c r="U214" s="46"/>
    </row>
    <row r="215" spans="1:21">
      <c r="A215" s="336" t="s">
        <v>20</v>
      </c>
      <c r="B215" s="336" t="s">
        <v>21</v>
      </c>
      <c r="C215" s="336" t="s">
        <v>18</v>
      </c>
      <c r="D215" s="336" t="s">
        <v>22</v>
      </c>
      <c r="E215" s="336" t="s">
        <v>7</v>
      </c>
      <c r="F215" s="336" t="s">
        <v>13</v>
      </c>
      <c r="G215" s="336" t="s">
        <v>16</v>
      </c>
      <c r="H215" s="336" t="s">
        <v>23</v>
      </c>
      <c r="I215" s="336" t="s">
        <v>24</v>
      </c>
      <c r="J215" s="336" t="s">
        <v>25</v>
      </c>
      <c r="K215" s="336" t="s">
        <v>26</v>
      </c>
      <c r="L215" s="336" t="s">
        <v>27</v>
      </c>
      <c r="M215" s="336" t="s">
        <v>28</v>
      </c>
      <c r="N215" s="336" t="s">
        <v>11</v>
      </c>
      <c r="O215" s="46"/>
      <c r="P215" s="46"/>
      <c r="Q215" s="46"/>
      <c r="R215" s="46"/>
      <c r="S215" s="46"/>
      <c r="T215" s="46"/>
      <c r="U215" s="46"/>
    </row>
    <row r="216" spans="1:21">
      <c r="A216" s="46" t="s">
        <v>936</v>
      </c>
      <c r="B216" s="407">
        <f>0.01</f>
        <v>0.01</v>
      </c>
      <c r="C216" s="46" t="s">
        <v>113</v>
      </c>
      <c r="D216" s="400" t="s">
        <v>2</v>
      </c>
      <c r="E216" s="46" t="s">
        <v>29</v>
      </c>
      <c r="F216" s="46" t="s">
        <v>14</v>
      </c>
      <c r="G216" s="46" t="s">
        <v>30</v>
      </c>
      <c r="H216" s="46">
        <v>1</v>
      </c>
      <c r="I216" s="46">
        <f t="shared" ref="I216:I217" si="24">B216</f>
        <v>0.01</v>
      </c>
      <c r="J216" s="46" t="s">
        <v>31</v>
      </c>
      <c r="K216" s="46" t="s">
        <v>31</v>
      </c>
      <c r="L216" s="46" t="s">
        <v>31</v>
      </c>
      <c r="M216" s="46" t="s">
        <v>31</v>
      </c>
      <c r="N216" s="46"/>
      <c r="O216" s="393" t="s">
        <v>887</v>
      </c>
      <c r="P216" s="406">
        <f>B216*100</f>
        <v>1</v>
      </c>
      <c r="Q216" s="46"/>
      <c r="R216" s="46"/>
      <c r="S216" s="46"/>
      <c r="T216" s="46"/>
      <c r="U216" s="46"/>
    </row>
    <row r="217" spans="1:21">
      <c r="A217" s="46" t="s">
        <v>872</v>
      </c>
      <c r="B217" s="407">
        <f>0.01</f>
        <v>0.01</v>
      </c>
      <c r="C217" s="46" t="s">
        <v>37</v>
      </c>
      <c r="D217" s="400" t="s">
        <v>2</v>
      </c>
      <c r="E217" s="46" t="s">
        <v>29</v>
      </c>
      <c r="F217" s="46" t="s">
        <v>14</v>
      </c>
      <c r="G217" s="46" t="s">
        <v>33</v>
      </c>
      <c r="H217" s="46">
        <v>1</v>
      </c>
      <c r="I217" s="46">
        <f t="shared" si="24"/>
        <v>0.01</v>
      </c>
      <c r="J217" s="46" t="s">
        <v>31</v>
      </c>
      <c r="K217" s="46" t="s">
        <v>31</v>
      </c>
      <c r="L217" s="46" t="s">
        <v>31</v>
      </c>
      <c r="M217" s="46" t="s">
        <v>31</v>
      </c>
      <c r="N217" s="46"/>
      <c r="O217" s="424"/>
      <c r="P217" s="425"/>
      <c r="Q217" s="46"/>
      <c r="R217" s="46"/>
      <c r="S217" s="46"/>
      <c r="T217" s="46"/>
      <c r="U217" s="46"/>
    </row>
    <row r="218" spans="1:21">
      <c r="A218" s="338" t="s">
        <v>75</v>
      </c>
      <c r="B218" s="342">
        <f>P218</f>
        <v>0.09</v>
      </c>
      <c r="C218" s="46" t="s">
        <v>39</v>
      </c>
      <c r="D218" s="46" t="s">
        <v>40</v>
      </c>
      <c r="E218" s="46" t="s">
        <v>29</v>
      </c>
      <c r="F218" s="32" t="s">
        <v>35</v>
      </c>
      <c r="G218" s="46" t="s">
        <v>33</v>
      </c>
      <c r="H218" s="46">
        <v>2</v>
      </c>
      <c r="I218" s="46">
        <f t="shared" ref="I218:I219" si="25">LN(B218)</f>
        <v>-2.4079456086518722</v>
      </c>
      <c r="J218" s="46">
        <v>7.2284161474004766E-2</v>
      </c>
      <c r="K218" s="46" t="s">
        <v>31</v>
      </c>
      <c r="L218" s="46" t="s">
        <v>31</v>
      </c>
      <c r="M218" s="46" t="s">
        <v>31</v>
      </c>
      <c r="N218" s="46"/>
      <c r="O218" s="393" t="s">
        <v>216</v>
      </c>
      <c r="P218" s="120">
        <v>0.09</v>
      </c>
      <c r="Q218" s="46"/>
      <c r="R218" s="46"/>
      <c r="S218" s="46"/>
      <c r="T218" s="46"/>
      <c r="U218" s="46"/>
    </row>
    <row r="219" spans="1:21">
      <c r="A219" s="32" t="s">
        <v>547</v>
      </c>
      <c r="B219" s="46">
        <f>R219</f>
        <v>2E-3</v>
      </c>
      <c r="C219" s="407" t="s">
        <v>37</v>
      </c>
      <c r="D219" s="46" t="s">
        <v>40</v>
      </c>
      <c r="E219" s="46" t="s">
        <v>29</v>
      </c>
      <c r="F219" s="46" t="s">
        <v>58</v>
      </c>
      <c r="G219" s="46" t="s">
        <v>33</v>
      </c>
      <c r="H219" s="46">
        <v>2</v>
      </c>
      <c r="I219" s="46">
        <f t="shared" si="25"/>
        <v>-6.2146080984221914</v>
      </c>
      <c r="J219" s="46">
        <v>7.2284161474004766E-2</v>
      </c>
      <c r="K219" s="46" t="s">
        <v>31</v>
      </c>
      <c r="L219" s="46" t="s">
        <v>31</v>
      </c>
      <c r="M219" s="46" t="s">
        <v>31</v>
      </c>
      <c r="N219" s="46"/>
      <c r="O219" s="393" t="s">
        <v>575</v>
      </c>
      <c r="P219" s="120">
        <v>2</v>
      </c>
      <c r="Q219" s="46" t="s">
        <v>221</v>
      </c>
      <c r="R219" s="46">
        <f>P219*0.001</f>
        <v>2E-3</v>
      </c>
      <c r="S219" s="46"/>
      <c r="T219" s="46"/>
      <c r="U219" s="46"/>
    </row>
    <row r="220" spans="1:21">
      <c r="A220" s="404" t="s">
        <v>866</v>
      </c>
      <c r="B220" s="46">
        <f t="shared" ref="B220:B221" si="26">R220</f>
        <v>4.0000000000000001E-3</v>
      </c>
      <c r="C220" s="46" t="s">
        <v>37</v>
      </c>
      <c r="D220" s="46" t="s">
        <v>40</v>
      </c>
      <c r="E220" s="46" t="s">
        <v>29</v>
      </c>
      <c r="F220" s="32" t="s">
        <v>35</v>
      </c>
      <c r="G220" s="46" t="s">
        <v>33</v>
      </c>
      <c r="H220" s="46">
        <v>2</v>
      </c>
      <c r="I220" s="46">
        <f>LN(B220)</f>
        <v>-5.521460917862246</v>
      </c>
      <c r="J220" s="46">
        <v>7.2284161474004766E-2</v>
      </c>
      <c r="K220" s="46" t="s">
        <v>31</v>
      </c>
      <c r="L220" s="46" t="s">
        <v>31</v>
      </c>
      <c r="M220" s="46" t="s">
        <v>31</v>
      </c>
      <c r="N220" s="46"/>
      <c r="O220" s="393" t="s">
        <v>575</v>
      </c>
      <c r="P220" s="120">
        <v>4</v>
      </c>
      <c r="Q220" s="46" t="s">
        <v>221</v>
      </c>
      <c r="R220" s="46">
        <f>P220*0.001</f>
        <v>4.0000000000000001E-3</v>
      </c>
      <c r="S220" s="46"/>
      <c r="T220" s="46"/>
      <c r="U220" s="46"/>
    </row>
    <row r="221" spans="1:21">
      <c r="A221" s="338" t="s">
        <v>792</v>
      </c>
      <c r="B221" s="46">
        <f t="shared" si="26"/>
        <v>3.3999999999999998E-3</v>
      </c>
      <c r="C221" s="46" t="s">
        <v>37</v>
      </c>
      <c r="D221" s="46" t="s">
        <v>40</v>
      </c>
      <c r="E221" s="46" t="s">
        <v>29</v>
      </c>
      <c r="F221" s="32" t="s">
        <v>741</v>
      </c>
      <c r="G221" s="46" t="s">
        <v>33</v>
      </c>
      <c r="H221" s="46">
        <v>2</v>
      </c>
      <c r="I221" s="46">
        <f t="shared" ref="I221:I222" si="27">LN(B221)</f>
        <v>-5.6839798473600212</v>
      </c>
      <c r="J221" s="46">
        <v>7.2284161474004766E-2</v>
      </c>
      <c r="K221" s="46" t="s">
        <v>31</v>
      </c>
      <c r="L221" s="46" t="s">
        <v>31</v>
      </c>
      <c r="M221" s="46" t="s">
        <v>31</v>
      </c>
      <c r="N221" s="46"/>
      <c r="O221" s="393" t="s">
        <v>221</v>
      </c>
      <c r="P221" s="120">
        <v>3.4</v>
      </c>
      <c r="Q221" s="46" t="s">
        <v>221</v>
      </c>
      <c r="R221" s="46">
        <f t="shared" ref="R221" si="28">0.001*P221</f>
        <v>3.3999999999999998E-3</v>
      </c>
      <c r="S221" s="46"/>
      <c r="T221" s="46"/>
      <c r="U221" s="46"/>
    </row>
    <row r="222" spans="1:21">
      <c r="A222" s="32" t="s">
        <v>226</v>
      </c>
      <c r="B222" s="46">
        <f>R222</f>
        <v>3.3999999999999998E-3</v>
      </c>
      <c r="C222" s="46" t="s">
        <v>42</v>
      </c>
      <c r="D222" s="46" t="s">
        <v>40</v>
      </c>
      <c r="E222" s="46" t="s">
        <v>29</v>
      </c>
      <c r="F222" s="32" t="s">
        <v>741</v>
      </c>
      <c r="G222" s="46" t="s">
        <v>33</v>
      </c>
      <c r="H222" s="46">
        <v>2</v>
      </c>
      <c r="I222" s="46">
        <f t="shared" si="27"/>
        <v>-5.6839798473600212</v>
      </c>
      <c r="J222" s="46">
        <v>7.2284161474004766E-2</v>
      </c>
      <c r="K222" s="46" t="s">
        <v>31</v>
      </c>
      <c r="L222" s="46" t="s">
        <v>31</v>
      </c>
      <c r="M222" s="46" t="s">
        <v>31</v>
      </c>
      <c r="N222" s="46"/>
      <c r="O222" s="410" t="s">
        <v>858</v>
      </c>
      <c r="P222" s="155">
        <v>3.4</v>
      </c>
      <c r="Q222" s="46" t="s">
        <v>219</v>
      </c>
      <c r="R222" s="46">
        <f>0.001*P222</f>
        <v>3.3999999999999998E-3</v>
      </c>
      <c r="S222" s="46"/>
      <c r="T222" s="46"/>
      <c r="U222" s="46"/>
    </row>
    <row r="223" spans="1:21" s="41" customFormat="1">
      <c r="A223" s="362" t="s">
        <v>5</v>
      </c>
      <c r="B223" s="438" t="s">
        <v>929</v>
      </c>
      <c r="C223" s="364"/>
      <c r="D223" s="345"/>
      <c r="E223" s="345"/>
      <c r="F223" s="345"/>
      <c r="G223" s="345"/>
      <c r="H223" s="345"/>
      <c r="I223" s="345"/>
      <c r="J223" s="345"/>
      <c r="K223" s="345"/>
      <c r="L223" s="345"/>
      <c r="M223" s="345"/>
      <c r="N223" s="345"/>
      <c r="O223" s="345"/>
      <c r="P223" s="345"/>
      <c r="Q223" s="345"/>
      <c r="R223" s="345"/>
      <c r="S223" s="345"/>
      <c r="T223" s="345"/>
      <c r="U223" s="345"/>
    </row>
    <row r="224" spans="1:21">
      <c r="A224" s="338" t="s">
        <v>7</v>
      </c>
      <c r="B224" s="46" t="s">
        <v>779</v>
      </c>
      <c r="C224" s="337"/>
      <c r="D224" s="46"/>
      <c r="E224" s="46"/>
      <c r="F224" s="46"/>
      <c r="G224" s="46"/>
      <c r="H224" s="46"/>
      <c r="I224" s="46"/>
      <c r="J224" s="46"/>
      <c r="K224" s="46"/>
      <c r="L224" s="46"/>
      <c r="M224" s="46"/>
      <c r="N224" s="46"/>
      <c r="O224" s="46"/>
      <c r="P224" s="46"/>
      <c r="Q224" s="46"/>
      <c r="R224" s="46"/>
      <c r="S224" s="46"/>
      <c r="T224" s="46"/>
      <c r="U224" s="46"/>
    </row>
    <row r="225" spans="1:21">
      <c r="A225" s="416" t="s">
        <v>9</v>
      </c>
      <c r="B225" s="46" t="s">
        <v>938</v>
      </c>
      <c r="C225" s="337"/>
      <c r="D225" s="46"/>
      <c r="E225" s="46"/>
      <c r="F225" s="46"/>
      <c r="G225" s="46"/>
      <c r="H225" s="46"/>
      <c r="I225" s="46"/>
      <c r="J225" s="46"/>
      <c r="K225" s="46"/>
      <c r="L225" s="46"/>
      <c r="M225" s="46"/>
      <c r="N225" s="46"/>
      <c r="O225" s="46"/>
      <c r="P225" s="46"/>
      <c r="Q225" s="46"/>
      <c r="R225" s="46"/>
      <c r="S225" s="46"/>
      <c r="T225" s="46"/>
      <c r="U225" s="46"/>
    </row>
    <row r="226" spans="1:21" ht="15.75" customHeight="1">
      <c r="A226" s="338" t="s">
        <v>11</v>
      </c>
      <c r="B226" s="339" t="s">
        <v>789</v>
      </c>
      <c r="C226" s="46"/>
      <c r="D226" s="46"/>
      <c r="E226" s="46"/>
      <c r="F226" s="46"/>
      <c r="G226" s="46"/>
      <c r="H226" s="46"/>
      <c r="I226" s="46"/>
      <c r="J226" s="46"/>
      <c r="K226" s="46"/>
      <c r="L226" s="46"/>
      <c r="M226" s="46"/>
      <c r="N226" s="46"/>
      <c r="O226" s="46"/>
      <c r="P226" s="46"/>
      <c r="Q226" s="46"/>
      <c r="R226" s="46"/>
      <c r="S226" s="46"/>
      <c r="T226" s="46"/>
      <c r="U226" s="46"/>
    </row>
    <row r="227" spans="1:21">
      <c r="A227" s="338" t="s">
        <v>13</v>
      </c>
      <c r="B227" s="46" t="s">
        <v>14</v>
      </c>
      <c r="C227" s="46"/>
      <c r="D227" s="46"/>
      <c r="E227" s="46"/>
      <c r="F227" s="46"/>
      <c r="G227" s="46"/>
      <c r="H227" s="46"/>
      <c r="I227" s="46"/>
      <c r="J227" s="46"/>
      <c r="K227" s="46"/>
      <c r="L227" s="46"/>
      <c r="M227" s="46"/>
      <c r="N227" s="46"/>
      <c r="O227" s="46"/>
      <c r="P227" s="46"/>
      <c r="Q227" s="46"/>
      <c r="R227" s="46"/>
      <c r="S227" s="46"/>
      <c r="T227" s="46"/>
      <c r="U227" s="46"/>
    </row>
    <row r="228" spans="1:21">
      <c r="A228" s="338" t="s">
        <v>15</v>
      </c>
      <c r="B228" s="417">
        <f>B233</f>
        <v>6.0000000000000001E-3</v>
      </c>
      <c r="C228" s="46"/>
      <c r="D228" s="46"/>
      <c r="E228" s="46"/>
      <c r="F228" s="46"/>
      <c r="G228" s="46"/>
      <c r="H228" s="46"/>
      <c r="I228" s="46"/>
      <c r="J228" s="46"/>
      <c r="K228" s="46"/>
      <c r="L228" s="46"/>
      <c r="M228" s="46"/>
      <c r="N228" s="46"/>
      <c r="O228" s="46"/>
      <c r="P228" s="46"/>
      <c r="Q228" s="46"/>
      <c r="R228" s="46"/>
      <c r="S228" s="46"/>
      <c r="T228" s="46"/>
      <c r="U228" s="46"/>
    </row>
    <row r="229" spans="1:21">
      <c r="A229" s="338" t="s">
        <v>16</v>
      </c>
      <c r="B229" s="46" t="s">
        <v>17</v>
      </c>
      <c r="C229" s="46"/>
      <c r="D229" s="46"/>
      <c r="E229" s="46"/>
      <c r="F229" s="46"/>
      <c r="G229" s="46"/>
      <c r="H229" s="46"/>
      <c r="I229" s="46"/>
      <c r="J229" s="46"/>
      <c r="K229" s="46"/>
      <c r="L229" s="46"/>
      <c r="M229" s="46"/>
      <c r="N229" s="46"/>
      <c r="O229" s="46"/>
      <c r="P229" s="46"/>
      <c r="Q229" s="46"/>
      <c r="R229" s="46"/>
      <c r="S229" s="46"/>
      <c r="T229" s="46"/>
      <c r="U229" s="46"/>
    </row>
    <row r="230" spans="1:21">
      <c r="A230" s="338" t="s">
        <v>18</v>
      </c>
      <c r="B230" s="46" t="s">
        <v>113</v>
      </c>
      <c r="C230" s="46"/>
      <c r="D230" s="46"/>
      <c r="E230" s="46"/>
      <c r="F230" s="46"/>
      <c r="G230" s="46"/>
      <c r="H230" s="46"/>
      <c r="I230" s="46"/>
      <c r="J230" s="46"/>
      <c r="K230" s="46"/>
      <c r="L230" s="46"/>
      <c r="M230" s="46"/>
      <c r="N230" s="46"/>
      <c r="O230" s="46"/>
      <c r="P230" s="46"/>
      <c r="Q230" s="46"/>
      <c r="R230" s="46"/>
      <c r="S230" s="46"/>
      <c r="T230" s="46"/>
      <c r="U230" s="46"/>
    </row>
    <row r="231" spans="1:21">
      <c r="A231" s="335" t="s">
        <v>19</v>
      </c>
      <c r="B231" s="46"/>
      <c r="C231" s="46"/>
      <c r="D231" s="46"/>
      <c r="E231" s="46"/>
      <c r="F231" s="46"/>
      <c r="G231" s="46"/>
      <c r="H231" s="46"/>
      <c r="I231" s="46"/>
      <c r="J231" s="46"/>
      <c r="K231" s="46"/>
      <c r="L231" s="46"/>
      <c r="M231" s="46"/>
      <c r="N231" s="46"/>
      <c r="O231" s="46"/>
      <c r="P231" s="46"/>
      <c r="Q231" s="46"/>
      <c r="R231" s="46"/>
      <c r="S231" s="46"/>
      <c r="T231" s="46"/>
      <c r="U231" s="46"/>
    </row>
    <row r="232" spans="1:21">
      <c r="A232" s="336" t="s">
        <v>20</v>
      </c>
      <c r="B232" s="336" t="s">
        <v>21</v>
      </c>
      <c r="C232" s="336" t="s">
        <v>18</v>
      </c>
      <c r="D232" s="336" t="s">
        <v>22</v>
      </c>
      <c r="E232" s="336" t="s">
        <v>7</v>
      </c>
      <c r="F232" s="336" t="s">
        <v>13</v>
      </c>
      <c r="G232" s="336" t="s">
        <v>16</v>
      </c>
      <c r="H232" s="336" t="s">
        <v>23</v>
      </c>
      <c r="I232" s="336" t="s">
        <v>24</v>
      </c>
      <c r="J232" s="336" t="s">
        <v>25</v>
      </c>
      <c r="K232" s="336" t="s">
        <v>26</v>
      </c>
      <c r="L232" s="336" t="s">
        <v>27</v>
      </c>
      <c r="M232" s="336" t="s">
        <v>28</v>
      </c>
      <c r="N232" s="336" t="s">
        <v>11</v>
      </c>
      <c r="O232" s="46"/>
      <c r="P232" s="46"/>
      <c r="Q232" s="46"/>
      <c r="R232" s="46"/>
      <c r="S232" s="46"/>
      <c r="T232" s="46"/>
      <c r="U232" s="46"/>
    </row>
    <row r="233" spans="1:21">
      <c r="A233" s="46" t="s">
        <v>929</v>
      </c>
      <c r="B233" s="407">
        <f>B234</f>
        <v>6.0000000000000001E-3</v>
      </c>
      <c r="C233" s="46" t="s">
        <v>113</v>
      </c>
      <c r="D233" s="400" t="s">
        <v>2</v>
      </c>
      <c r="E233" s="46" t="s">
        <v>29</v>
      </c>
      <c r="F233" s="32" t="s">
        <v>14</v>
      </c>
      <c r="G233" s="46" t="s">
        <v>30</v>
      </c>
      <c r="H233" s="46">
        <v>1</v>
      </c>
      <c r="I233" s="46">
        <f t="shared" ref="I233:I235" si="29">B233</f>
        <v>6.0000000000000001E-3</v>
      </c>
      <c r="J233" s="46" t="s">
        <v>31</v>
      </c>
      <c r="K233" s="46" t="s">
        <v>31</v>
      </c>
      <c r="L233" s="46" t="s">
        <v>31</v>
      </c>
      <c r="M233" s="46" t="s">
        <v>31</v>
      </c>
      <c r="N233" s="46"/>
      <c r="O233" s="46"/>
      <c r="P233" s="46"/>
      <c r="Q233" s="46"/>
      <c r="R233" s="46"/>
      <c r="S233" s="46"/>
      <c r="T233" s="46"/>
      <c r="U233" s="46"/>
    </row>
    <row r="234" spans="1:21">
      <c r="A234" s="46" t="s">
        <v>939</v>
      </c>
      <c r="B234" s="407">
        <f>B254</f>
        <v>6.0000000000000001E-3</v>
      </c>
      <c r="C234" s="46" t="s">
        <v>113</v>
      </c>
      <c r="D234" s="400" t="s">
        <v>2</v>
      </c>
      <c r="E234" s="46" t="s">
        <v>29</v>
      </c>
      <c r="F234" s="32" t="s">
        <v>14</v>
      </c>
      <c r="G234" s="46" t="s">
        <v>33</v>
      </c>
      <c r="H234" s="46">
        <v>1</v>
      </c>
      <c r="I234" s="46">
        <f t="shared" si="29"/>
        <v>6.0000000000000001E-3</v>
      </c>
      <c r="J234" s="46" t="s">
        <v>31</v>
      </c>
      <c r="K234" s="46" t="s">
        <v>31</v>
      </c>
      <c r="L234" s="46" t="s">
        <v>31</v>
      </c>
      <c r="M234" s="46" t="s">
        <v>31</v>
      </c>
      <c r="N234" s="46"/>
      <c r="O234" s="46"/>
      <c r="P234" s="46"/>
      <c r="Q234" s="46"/>
      <c r="R234" s="46"/>
      <c r="S234" s="46"/>
      <c r="T234" s="46"/>
      <c r="U234" s="46"/>
    </row>
    <row r="235" spans="1:21">
      <c r="A235" s="46" t="s">
        <v>940</v>
      </c>
      <c r="B235" s="407">
        <f>B242</f>
        <v>1.0300000000000001E-3</v>
      </c>
      <c r="C235" s="46" t="s">
        <v>113</v>
      </c>
      <c r="D235" s="400" t="s">
        <v>2</v>
      </c>
      <c r="E235" s="46" t="s">
        <v>29</v>
      </c>
      <c r="F235" s="32" t="s">
        <v>14</v>
      </c>
      <c r="G235" s="46" t="s">
        <v>33</v>
      </c>
      <c r="H235" s="46">
        <v>1</v>
      </c>
      <c r="I235" s="46">
        <f t="shared" si="29"/>
        <v>1.0300000000000001E-3</v>
      </c>
      <c r="J235" s="46" t="s">
        <v>31</v>
      </c>
      <c r="K235" s="46" t="s">
        <v>31</v>
      </c>
      <c r="L235" s="46" t="s">
        <v>31</v>
      </c>
      <c r="M235" s="46" t="s">
        <v>31</v>
      </c>
      <c r="N235" s="46"/>
      <c r="O235" s="46"/>
      <c r="P235" s="46"/>
      <c r="Q235" s="46"/>
      <c r="R235" s="46"/>
      <c r="S235" s="46"/>
      <c r="T235" s="46"/>
      <c r="U235" s="46"/>
    </row>
    <row r="236" spans="1:21">
      <c r="A236" s="338" t="s">
        <v>75</v>
      </c>
      <c r="B236" s="342">
        <v>0.14000000000000001</v>
      </c>
      <c r="C236" s="46" t="s">
        <v>39</v>
      </c>
      <c r="D236" s="46" t="s">
        <v>40</v>
      </c>
      <c r="E236" s="46" t="s">
        <v>29</v>
      </c>
      <c r="F236" s="32" t="s">
        <v>35</v>
      </c>
      <c r="G236" s="46" t="s">
        <v>33</v>
      </c>
      <c r="H236" s="46">
        <v>2</v>
      </c>
      <c r="I236" s="46">
        <f t="shared" ref="I236" si="30">LN(B236)</f>
        <v>-1.9661128563728327</v>
      </c>
      <c r="J236" s="46">
        <v>0.20928449536456342</v>
      </c>
      <c r="K236" s="46" t="s">
        <v>31</v>
      </c>
      <c r="L236" s="46" t="s">
        <v>31</v>
      </c>
      <c r="M236" s="46" t="s">
        <v>31</v>
      </c>
      <c r="N236" s="46"/>
      <c r="O236" s="46"/>
      <c r="P236" s="46"/>
      <c r="Q236" s="46"/>
      <c r="R236" s="46"/>
      <c r="S236" s="46"/>
      <c r="T236" s="46"/>
      <c r="U236" s="46"/>
    </row>
    <row r="237" spans="1:21" s="41" customFormat="1">
      <c r="A237" s="362" t="s">
        <v>5</v>
      </c>
      <c r="B237" s="438" t="s">
        <v>940</v>
      </c>
      <c r="C237" s="364"/>
      <c r="D237" s="345"/>
      <c r="E237" s="345"/>
      <c r="F237" s="345"/>
      <c r="G237" s="345"/>
      <c r="H237" s="345"/>
      <c r="I237" s="345"/>
      <c r="J237" s="345"/>
      <c r="K237" s="345"/>
      <c r="L237" s="345"/>
      <c r="M237" s="345"/>
      <c r="N237" s="345"/>
      <c r="O237" s="345"/>
      <c r="P237" s="345"/>
      <c r="Q237" s="345"/>
      <c r="R237" s="345"/>
      <c r="S237" s="345"/>
      <c r="T237" s="345"/>
      <c r="U237" s="345"/>
    </row>
    <row r="238" spans="1:21">
      <c r="A238" s="338" t="s">
        <v>7</v>
      </c>
      <c r="B238" s="46" t="s">
        <v>779</v>
      </c>
      <c r="C238" s="337"/>
      <c r="D238" s="46"/>
      <c r="E238" s="46"/>
      <c r="F238" s="46"/>
      <c r="G238" s="46"/>
      <c r="H238" s="46"/>
      <c r="I238" s="46"/>
      <c r="J238" s="46"/>
      <c r="K238" s="46"/>
      <c r="L238" s="46"/>
      <c r="M238" s="46"/>
      <c r="N238" s="46"/>
      <c r="O238" s="46"/>
      <c r="P238" s="46"/>
      <c r="Q238" s="46"/>
      <c r="R238" s="46"/>
      <c r="S238" s="46"/>
      <c r="T238" s="46"/>
      <c r="U238" s="46"/>
    </row>
    <row r="239" spans="1:21">
      <c r="A239" s="416" t="s">
        <v>9</v>
      </c>
      <c r="B239" s="46" t="s">
        <v>941</v>
      </c>
      <c r="C239" s="337"/>
      <c r="D239" s="46"/>
      <c r="E239" s="46"/>
      <c r="F239" s="46"/>
      <c r="G239" s="46"/>
      <c r="H239" s="46"/>
      <c r="I239" s="46"/>
      <c r="J239" s="46"/>
      <c r="K239" s="46"/>
      <c r="L239" s="46"/>
      <c r="M239" s="46"/>
      <c r="N239" s="46"/>
      <c r="O239" s="46"/>
      <c r="P239" s="46"/>
      <c r="Q239" s="46"/>
      <c r="R239" s="46"/>
      <c r="S239" s="46"/>
      <c r="T239" s="46"/>
      <c r="U239" s="46"/>
    </row>
    <row r="240" spans="1:21" ht="15.75" customHeight="1">
      <c r="A240" s="338" t="s">
        <v>11</v>
      </c>
      <c r="B240" s="339" t="s">
        <v>789</v>
      </c>
      <c r="C240" s="46"/>
      <c r="D240" s="46"/>
      <c r="E240" s="46"/>
      <c r="F240" s="46"/>
      <c r="G240" s="46"/>
      <c r="H240" s="46"/>
      <c r="I240" s="46"/>
      <c r="J240" s="46"/>
      <c r="K240" s="46"/>
      <c r="L240" s="46"/>
      <c r="M240" s="46"/>
      <c r="N240" s="46"/>
      <c r="O240" s="46"/>
      <c r="P240" s="46"/>
      <c r="Q240" s="46"/>
      <c r="R240" s="46"/>
      <c r="S240" s="46"/>
      <c r="T240" s="46"/>
      <c r="U240" s="46"/>
    </row>
    <row r="241" spans="1:21">
      <c r="A241" s="338" t="s">
        <v>13</v>
      </c>
      <c r="B241" s="46" t="s">
        <v>14</v>
      </c>
      <c r="C241" s="46"/>
      <c r="D241" s="46"/>
      <c r="E241" s="46"/>
      <c r="F241" s="46"/>
      <c r="G241" s="46"/>
      <c r="H241" s="46"/>
      <c r="I241" s="46"/>
      <c r="J241" s="46"/>
      <c r="K241" s="46"/>
      <c r="L241" s="46"/>
      <c r="M241" s="46"/>
      <c r="N241" s="46"/>
      <c r="O241" s="46"/>
      <c r="P241" s="46"/>
      <c r="Q241" s="46"/>
      <c r="R241" s="46"/>
      <c r="S241" s="46"/>
      <c r="T241" s="46"/>
      <c r="U241" s="46"/>
    </row>
    <row r="242" spans="1:21">
      <c r="A242" s="338" t="s">
        <v>15</v>
      </c>
      <c r="B242" s="407">
        <f>B247</f>
        <v>1.0300000000000001E-3</v>
      </c>
      <c r="C242" s="46"/>
      <c r="D242" s="46"/>
      <c r="E242" s="46"/>
      <c r="F242" s="46"/>
      <c r="G242" s="46"/>
      <c r="H242" s="46"/>
      <c r="I242" s="46"/>
      <c r="J242" s="46"/>
      <c r="K242" s="46"/>
      <c r="L242" s="46"/>
      <c r="M242" s="46"/>
      <c r="N242" s="46"/>
      <c r="O242" s="46"/>
      <c r="P242" s="46"/>
      <c r="Q242" s="46"/>
      <c r="R242" s="46"/>
      <c r="S242" s="46"/>
      <c r="T242" s="46"/>
      <c r="U242" s="46"/>
    </row>
    <row r="243" spans="1:21">
      <c r="A243" s="338" t="s">
        <v>16</v>
      </c>
      <c r="B243" s="46" t="s">
        <v>17</v>
      </c>
      <c r="C243" s="46"/>
      <c r="D243" s="46"/>
      <c r="E243" s="46"/>
      <c r="F243" s="46"/>
      <c r="G243" s="46"/>
      <c r="H243" s="46"/>
      <c r="I243" s="46"/>
      <c r="J243" s="46"/>
      <c r="K243" s="46"/>
      <c r="L243" s="46"/>
      <c r="M243" s="46"/>
      <c r="N243" s="46"/>
      <c r="O243" s="46"/>
      <c r="P243" s="46"/>
      <c r="Q243" s="46"/>
      <c r="R243" s="46"/>
      <c r="S243" s="46"/>
      <c r="T243" s="46"/>
      <c r="U243" s="46"/>
    </row>
    <row r="244" spans="1:21">
      <c r="A244" s="338" t="s">
        <v>18</v>
      </c>
      <c r="B244" s="46" t="s">
        <v>113</v>
      </c>
      <c r="C244" s="46"/>
      <c r="D244" s="46"/>
      <c r="E244" s="46"/>
      <c r="F244" s="46"/>
      <c r="G244" s="46"/>
      <c r="H244" s="46"/>
      <c r="I244" s="46"/>
      <c r="J244" s="46"/>
      <c r="K244" s="46"/>
      <c r="L244" s="46"/>
      <c r="M244" s="46"/>
      <c r="N244" s="46"/>
      <c r="O244" s="46"/>
      <c r="P244" s="46"/>
      <c r="Q244" s="46"/>
      <c r="R244" s="46"/>
      <c r="S244" s="46"/>
      <c r="T244" s="46"/>
      <c r="U244" s="46"/>
    </row>
    <row r="245" spans="1:21">
      <c r="A245" s="335" t="s">
        <v>19</v>
      </c>
      <c r="B245" s="46"/>
      <c r="C245" s="46"/>
      <c r="D245" s="46"/>
      <c r="E245" s="46"/>
      <c r="F245" s="46"/>
      <c r="G245" s="46"/>
      <c r="H245" s="46"/>
      <c r="I245" s="46"/>
      <c r="J245" s="46"/>
      <c r="K245" s="46"/>
      <c r="L245" s="46"/>
      <c r="M245" s="46"/>
      <c r="N245" s="46"/>
      <c r="O245" s="46"/>
      <c r="P245" s="46"/>
      <c r="Q245" s="46"/>
      <c r="R245" s="46"/>
      <c r="S245" s="46"/>
      <c r="T245" s="46"/>
      <c r="U245" s="46"/>
    </row>
    <row r="246" spans="1:21">
      <c r="A246" s="336" t="s">
        <v>20</v>
      </c>
      <c r="B246" s="336" t="s">
        <v>21</v>
      </c>
      <c r="C246" s="336" t="s">
        <v>18</v>
      </c>
      <c r="D246" s="336" t="s">
        <v>22</v>
      </c>
      <c r="E246" s="336" t="s">
        <v>7</v>
      </c>
      <c r="F246" s="336" t="s">
        <v>13</v>
      </c>
      <c r="G246" s="336" t="s">
        <v>16</v>
      </c>
      <c r="H246" s="336" t="s">
        <v>23</v>
      </c>
      <c r="I246" s="336" t="s">
        <v>24</v>
      </c>
      <c r="J246" s="336" t="s">
        <v>25</v>
      </c>
      <c r="K246" s="336" t="s">
        <v>26</v>
      </c>
      <c r="L246" s="336" t="s">
        <v>27</v>
      </c>
      <c r="M246" s="336" t="s">
        <v>28</v>
      </c>
      <c r="N246" s="336" t="s">
        <v>11</v>
      </c>
      <c r="O246" s="46"/>
      <c r="P246" s="46"/>
      <c r="Q246" s="46"/>
      <c r="R246" s="46"/>
      <c r="S246" s="46"/>
      <c r="T246" s="46"/>
      <c r="U246" s="46"/>
    </row>
    <row r="247" spans="1:21">
      <c r="A247" s="46" t="s">
        <v>940</v>
      </c>
      <c r="B247" s="407">
        <f>B248</f>
        <v>1.0300000000000001E-3</v>
      </c>
      <c r="C247" s="46" t="s">
        <v>113</v>
      </c>
      <c r="D247" s="400" t="s">
        <v>2</v>
      </c>
      <c r="E247" s="46" t="s">
        <v>29</v>
      </c>
      <c r="F247" s="32" t="s">
        <v>14</v>
      </c>
      <c r="G247" s="46" t="s">
        <v>30</v>
      </c>
      <c r="H247" s="46">
        <v>1</v>
      </c>
      <c r="I247" s="46">
        <f>B247</f>
        <v>1.0300000000000001E-3</v>
      </c>
      <c r="J247" s="46" t="s">
        <v>31</v>
      </c>
      <c r="K247" s="46" t="s">
        <v>31</v>
      </c>
      <c r="L247" s="46" t="s">
        <v>31</v>
      </c>
      <c r="M247" s="46" t="s">
        <v>31</v>
      </c>
      <c r="N247" s="46"/>
      <c r="O247" s="46"/>
      <c r="P247" s="46"/>
      <c r="Q247" s="46"/>
      <c r="R247" s="46"/>
      <c r="S247" s="46"/>
      <c r="T247" s="46"/>
      <c r="U247" s="46"/>
    </row>
    <row r="248" spans="1:21">
      <c r="A248" s="32" t="s">
        <v>942</v>
      </c>
      <c r="B248" s="407">
        <f>R248</f>
        <v>1.0300000000000001E-3</v>
      </c>
      <c r="C248" s="46" t="s">
        <v>113</v>
      </c>
      <c r="D248" s="46" t="s">
        <v>40</v>
      </c>
      <c r="E248" s="46" t="s">
        <v>29</v>
      </c>
      <c r="F248" s="46" t="s">
        <v>58</v>
      </c>
      <c r="G248" s="46" t="s">
        <v>33</v>
      </c>
      <c r="H248" s="46">
        <v>2</v>
      </c>
      <c r="I248" s="46">
        <f>LN(B248)</f>
        <v>-6.8781964767405928</v>
      </c>
      <c r="J248" s="46">
        <v>3.7749172176353707E-2</v>
      </c>
      <c r="K248" s="46" t="s">
        <v>31</v>
      </c>
      <c r="L248" s="46" t="s">
        <v>31</v>
      </c>
      <c r="M248" s="46" t="s">
        <v>31</v>
      </c>
      <c r="O248" s="46" t="s">
        <v>943</v>
      </c>
      <c r="P248" s="120">
        <v>10.3</v>
      </c>
      <c r="Q248" s="46" t="s">
        <v>605</v>
      </c>
      <c r="R248" s="46">
        <f>P248*0.0001</f>
        <v>1.0300000000000001E-3</v>
      </c>
      <c r="S248" s="46"/>
      <c r="T248" s="46"/>
      <c r="U248" s="46"/>
    </row>
    <row r="249" spans="1:21" s="41" customFormat="1">
      <c r="A249" s="362" t="s">
        <v>5</v>
      </c>
      <c r="B249" s="363" t="s">
        <v>939</v>
      </c>
      <c r="C249" s="345"/>
      <c r="D249" s="345"/>
      <c r="E249" s="345"/>
      <c r="F249" s="345"/>
      <c r="G249" s="345"/>
      <c r="H249" s="345"/>
      <c r="I249" s="345"/>
      <c r="J249" s="345"/>
      <c r="K249" s="345"/>
      <c r="L249" s="345"/>
      <c r="M249" s="345"/>
      <c r="N249" s="345"/>
      <c r="O249" s="345"/>
      <c r="P249" s="345"/>
      <c r="Q249" s="345"/>
      <c r="R249" s="345"/>
      <c r="S249" s="345"/>
      <c r="T249" s="345"/>
      <c r="U249" s="345"/>
    </row>
    <row r="250" spans="1:21">
      <c r="A250" s="338" t="s">
        <v>7</v>
      </c>
      <c r="B250" s="46" t="s">
        <v>779</v>
      </c>
      <c r="C250" s="337"/>
      <c r="D250" s="46"/>
      <c r="E250" s="46"/>
      <c r="F250" s="46"/>
      <c r="G250" s="46"/>
      <c r="H250" s="46"/>
      <c r="I250" s="46"/>
      <c r="J250" s="46"/>
      <c r="K250" s="46"/>
      <c r="L250" s="46"/>
      <c r="M250" s="46"/>
      <c r="N250" s="46"/>
      <c r="O250" s="46"/>
      <c r="P250" s="46"/>
      <c r="Q250" s="46"/>
      <c r="R250" s="46"/>
      <c r="S250" s="46"/>
      <c r="T250" s="46"/>
      <c r="U250" s="46"/>
    </row>
    <row r="251" spans="1:21">
      <c r="A251" s="416" t="s">
        <v>9</v>
      </c>
      <c r="B251" s="46" t="s">
        <v>944</v>
      </c>
      <c r="C251" s="337"/>
      <c r="D251" s="46"/>
      <c r="E251" s="46"/>
      <c r="F251" s="46"/>
      <c r="G251" s="46"/>
      <c r="H251" s="46"/>
      <c r="I251" s="46"/>
      <c r="J251" s="46"/>
      <c r="K251" s="46"/>
      <c r="L251" s="46"/>
      <c r="M251" s="46"/>
      <c r="N251" s="46"/>
      <c r="O251" s="46"/>
      <c r="P251" s="46"/>
      <c r="Q251" s="46"/>
      <c r="R251" s="46"/>
      <c r="S251" s="46"/>
      <c r="T251" s="46"/>
      <c r="U251" s="46"/>
    </row>
    <row r="252" spans="1:21" ht="15.75" customHeight="1">
      <c r="A252" s="338" t="s">
        <v>11</v>
      </c>
      <c r="B252" s="339" t="s">
        <v>789</v>
      </c>
      <c r="C252" s="46"/>
      <c r="D252" s="46"/>
      <c r="E252" s="46"/>
      <c r="F252" s="46"/>
      <c r="G252" s="46"/>
      <c r="H252" s="46"/>
      <c r="I252" s="46"/>
      <c r="J252" s="46"/>
      <c r="K252" s="46"/>
      <c r="L252" s="46"/>
      <c r="M252" s="46"/>
      <c r="N252" s="46"/>
      <c r="O252" s="46"/>
      <c r="P252" s="46"/>
      <c r="Q252" s="46"/>
      <c r="R252" s="46"/>
      <c r="S252" s="46"/>
      <c r="T252" s="46"/>
      <c r="U252" s="46"/>
    </row>
    <row r="253" spans="1:21">
      <c r="A253" s="338" t="s">
        <v>13</v>
      </c>
      <c r="B253" s="46" t="s">
        <v>14</v>
      </c>
      <c r="C253" s="46"/>
      <c r="D253" s="46"/>
      <c r="E253" s="46"/>
      <c r="F253" s="46"/>
      <c r="G253" s="46"/>
      <c r="H253" s="46"/>
      <c r="I253" s="46"/>
      <c r="J253" s="46"/>
      <c r="K253" s="46"/>
      <c r="L253" s="46"/>
      <c r="M253" s="46"/>
      <c r="N253" s="46"/>
      <c r="O253" s="46"/>
      <c r="P253" s="46"/>
      <c r="Q253" s="46"/>
      <c r="R253" s="46"/>
      <c r="S253" s="46"/>
      <c r="T253" s="46"/>
      <c r="U253" s="46"/>
    </row>
    <row r="254" spans="1:21">
      <c r="A254" s="338" t="s">
        <v>15</v>
      </c>
      <c r="B254" s="407">
        <f>B259</f>
        <v>6.0000000000000001E-3</v>
      </c>
      <c r="C254" s="46"/>
      <c r="D254" s="46"/>
      <c r="E254" s="46"/>
      <c r="F254" s="46"/>
      <c r="G254" s="46"/>
      <c r="H254" s="46"/>
      <c r="I254" s="46"/>
      <c r="J254" s="46"/>
      <c r="K254" s="46"/>
      <c r="L254" s="46"/>
      <c r="M254" s="46"/>
      <c r="N254" s="46"/>
      <c r="O254" s="46"/>
      <c r="P254" s="46"/>
      <c r="Q254" s="46"/>
      <c r="R254" s="46"/>
      <c r="S254" s="46"/>
      <c r="T254" s="46"/>
      <c r="U254" s="46"/>
    </row>
    <row r="255" spans="1:21">
      <c r="A255" s="338" t="s">
        <v>16</v>
      </c>
      <c r="B255" s="46" t="s">
        <v>17</v>
      </c>
      <c r="C255" s="46"/>
      <c r="D255" s="46"/>
      <c r="E255" s="46"/>
      <c r="F255" s="46"/>
      <c r="G255" s="46"/>
      <c r="H255" s="46"/>
      <c r="I255" s="46"/>
      <c r="J255" s="46"/>
      <c r="K255" s="46"/>
      <c r="L255" s="46"/>
      <c r="M255" s="46"/>
      <c r="N255" s="46"/>
      <c r="O255" s="46"/>
      <c r="P255" s="46"/>
      <c r="Q255" s="46"/>
      <c r="R255" s="46"/>
      <c r="S255" s="46"/>
      <c r="T255" s="46"/>
      <c r="U255" s="46"/>
    </row>
    <row r="256" spans="1:21">
      <c r="A256" s="338" t="s">
        <v>18</v>
      </c>
      <c r="B256" s="46" t="s">
        <v>113</v>
      </c>
      <c r="C256" s="46"/>
      <c r="D256" s="46"/>
      <c r="E256" s="46"/>
      <c r="F256" s="46"/>
      <c r="G256" s="46"/>
      <c r="H256" s="46"/>
      <c r="I256" s="46"/>
      <c r="J256" s="46"/>
      <c r="K256" s="46"/>
      <c r="L256" s="46"/>
      <c r="M256" s="46"/>
      <c r="N256" s="46"/>
      <c r="O256" s="46"/>
      <c r="P256" s="46"/>
      <c r="Q256" s="46"/>
      <c r="R256" s="46"/>
      <c r="S256" s="46"/>
      <c r="T256" s="46"/>
      <c r="U256" s="46"/>
    </row>
    <row r="257" spans="1:21">
      <c r="A257" s="335" t="s">
        <v>19</v>
      </c>
      <c r="B257" s="46"/>
      <c r="C257" s="46"/>
      <c r="D257" s="46"/>
      <c r="E257" s="46"/>
      <c r="F257" s="46"/>
      <c r="G257" s="46"/>
      <c r="H257" s="46"/>
      <c r="I257" s="46"/>
      <c r="J257" s="46"/>
      <c r="K257" s="46"/>
      <c r="L257" s="46"/>
      <c r="M257" s="46"/>
      <c r="N257" s="46"/>
      <c r="O257" s="46"/>
      <c r="P257" s="46"/>
      <c r="Q257" s="46"/>
      <c r="R257" s="46"/>
      <c r="S257" s="46"/>
      <c r="T257" s="46"/>
      <c r="U257" s="46"/>
    </row>
    <row r="258" spans="1:21">
      <c r="A258" s="336" t="s">
        <v>20</v>
      </c>
      <c r="B258" s="336" t="s">
        <v>21</v>
      </c>
      <c r="C258" s="336" t="s">
        <v>18</v>
      </c>
      <c r="D258" s="336" t="s">
        <v>22</v>
      </c>
      <c r="E258" s="336" t="s">
        <v>7</v>
      </c>
      <c r="F258" s="336" t="s">
        <v>13</v>
      </c>
      <c r="G258" s="336" t="s">
        <v>16</v>
      </c>
      <c r="H258" s="336" t="s">
        <v>23</v>
      </c>
      <c r="I258" s="336" t="s">
        <v>24</v>
      </c>
      <c r="J258" s="336" t="s">
        <v>25</v>
      </c>
      <c r="K258" s="336" t="s">
        <v>26</v>
      </c>
      <c r="L258" s="336" t="s">
        <v>27</v>
      </c>
      <c r="M258" s="336" t="s">
        <v>28</v>
      </c>
      <c r="N258" s="336" t="s">
        <v>11</v>
      </c>
      <c r="O258" s="46"/>
      <c r="P258" s="46"/>
      <c r="Q258" s="46"/>
      <c r="R258" s="46"/>
      <c r="S258" s="46"/>
      <c r="T258" s="46"/>
      <c r="U258" s="46"/>
    </row>
    <row r="259" spans="1:21">
      <c r="A259" s="46" t="s">
        <v>939</v>
      </c>
      <c r="B259" s="407">
        <f>B271</f>
        <v>6.0000000000000001E-3</v>
      </c>
      <c r="C259" s="46" t="s">
        <v>113</v>
      </c>
      <c r="D259" s="400" t="s">
        <v>2</v>
      </c>
      <c r="E259" s="46" t="s">
        <v>29</v>
      </c>
      <c r="F259" s="32" t="s">
        <v>14</v>
      </c>
      <c r="G259" s="46" t="s">
        <v>30</v>
      </c>
      <c r="H259" s="46">
        <v>1</v>
      </c>
      <c r="I259" s="46">
        <f t="shared" ref="I259:I260" si="31">B259</f>
        <v>6.0000000000000001E-3</v>
      </c>
      <c r="J259" s="46" t="s">
        <v>31</v>
      </c>
      <c r="K259" s="46" t="s">
        <v>31</v>
      </c>
      <c r="L259" s="46" t="s">
        <v>31</v>
      </c>
      <c r="M259" s="46" t="s">
        <v>31</v>
      </c>
      <c r="N259" s="46"/>
      <c r="O259" s="46"/>
      <c r="P259" s="46"/>
      <c r="Q259" s="46"/>
      <c r="R259" s="46"/>
      <c r="S259" s="46"/>
      <c r="T259" s="46"/>
      <c r="U259" s="46"/>
    </row>
    <row r="260" spans="1:21">
      <c r="A260" s="46" t="s">
        <v>945</v>
      </c>
      <c r="B260" s="407">
        <f>B271</f>
        <v>6.0000000000000001E-3</v>
      </c>
      <c r="C260" s="46" t="s">
        <v>113</v>
      </c>
      <c r="D260" s="400" t="s">
        <v>2</v>
      </c>
      <c r="E260" s="46" t="s">
        <v>29</v>
      </c>
      <c r="F260" s="46" t="s">
        <v>14</v>
      </c>
      <c r="G260" s="46" t="s">
        <v>33</v>
      </c>
      <c r="H260" s="46">
        <v>1</v>
      </c>
      <c r="I260" s="46">
        <f t="shared" si="31"/>
        <v>6.0000000000000001E-3</v>
      </c>
      <c r="J260" s="46" t="s">
        <v>31</v>
      </c>
      <c r="K260" s="46" t="s">
        <v>31</v>
      </c>
      <c r="L260" s="46" t="s">
        <v>31</v>
      </c>
      <c r="M260" s="46" t="s">
        <v>31</v>
      </c>
      <c r="N260" s="46"/>
      <c r="O260" s="46"/>
      <c r="P260" s="46"/>
      <c r="Q260" s="46"/>
      <c r="R260" s="46"/>
      <c r="S260" s="46"/>
      <c r="T260" s="46"/>
      <c r="U260" s="46"/>
    </row>
    <row r="261" spans="1:21">
      <c r="A261" s="338" t="s">
        <v>75</v>
      </c>
      <c r="B261" s="342">
        <f>R261</f>
        <v>0.05</v>
      </c>
      <c r="C261" s="46" t="s">
        <v>39</v>
      </c>
      <c r="D261" s="46" t="s">
        <v>40</v>
      </c>
      <c r="E261" s="46" t="s">
        <v>29</v>
      </c>
      <c r="F261" s="32" t="s">
        <v>35</v>
      </c>
      <c r="G261" s="46" t="s">
        <v>33</v>
      </c>
      <c r="H261" s="46">
        <v>2</v>
      </c>
      <c r="I261" s="46">
        <f t="shared" ref="I261:I265" si="32">LN(B261)</f>
        <v>-2.9957322735539909</v>
      </c>
      <c r="J261" s="46">
        <v>0.20928449536456342</v>
      </c>
      <c r="K261" s="46" t="s">
        <v>31</v>
      </c>
      <c r="L261" s="46" t="s">
        <v>31</v>
      </c>
      <c r="M261" s="46" t="s">
        <v>31</v>
      </c>
      <c r="N261" s="46"/>
      <c r="O261" s="375" t="s">
        <v>216</v>
      </c>
      <c r="P261" s="120">
        <v>0.05</v>
      </c>
      <c r="Q261" s="46" t="s">
        <v>216</v>
      </c>
      <c r="R261" s="342">
        <f>P261</f>
        <v>0.05</v>
      </c>
      <c r="S261" s="46"/>
      <c r="T261" s="46"/>
      <c r="U261" s="46"/>
    </row>
    <row r="262" spans="1:21">
      <c r="A262" s="32" t="s">
        <v>791</v>
      </c>
      <c r="B262" s="46">
        <f>R262</f>
        <v>1.6999999999999999E-3</v>
      </c>
      <c r="C262" s="46" t="s">
        <v>37</v>
      </c>
      <c r="D262" s="46" t="s">
        <v>40</v>
      </c>
      <c r="E262" s="46" t="s">
        <v>29</v>
      </c>
      <c r="F262" s="32" t="s">
        <v>35</v>
      </c>
      <c r="G262" s="46" t="s">
        <v>33</v>
      </c>
      <c r="H262" s="46">
        <v>2</v>
      </c>
      <c r="I262" s="46">
        <f t="shared" si="32"/>
        <v>-6.3771270279199666</v>
      </c>
      <c r="J262" s="46">
        <v>0.20928449536456342</v>
      </c>
      <c r="K262" s="46" t="s">
        <v>31</v>
      </c>
      <c r="L262" s="46" t="s">
        <v>31</v>
      </c>
      <c r="M262" s="46" t="s">
        <v>31</v>
      </c>
      <c r="N262" s="46"/>
      <c r="O262" s="393" t="s">
        <v>575</v>
      </c>
      <c r="P262" s="120">
        <v>1.7</v>
      </c>
      <c r="Q262" s="46" t="s">
        <v>221</v>
      </c>
      <c r="R262" s="46">
        <f>0.001*P262</f>
        <v>1.6999999999999999E-3</v>
      </c>
      <c r="S262" s="46"/>
      <c r="T262" s="46"/>
      <c r="U262" s="46"/>
    </row>
    <row r="263" spans="1:21">
      <c r="A263" s="32" t="s">
        <v>546</v>
      </c>
      <c r="B263" s="46">
        <f>R263</f>
        <v>2.9999999999999997E-4</v>
      </c>
      <c r="C263" s="46" t="s">
        <v>37</v>
      </c>
      <c r="D263" s="46" t="s">
        <v>40</v>
      </c>
      <c r="E263" s="46" t="s">
        <v>29</v>
      </c>
      <c r="F263" s="32" t="s">
        <v>58</v>
      </c>
      <c r="G263" s="46" t="s">
        <v>33</v>
      </c>
      <c r="H263" s="46">
        <v>2</v>
      </c>
      <c r="I263" s="46">
        <f t="shared" si="32"/>
        <v>-8.1117280833080727</v>
      </c>
      <c r="J263" s="46">
        <v>0.20928449536456342</v>
      </c>
      <c r="K263" s="46" t="s">
        <v>31</v>
      </c>
      <c r="L263" s="46" t="s">
        <v>31</v>
      </c>
      <c r="M263" s="46" t="s">
        <v>31</v>
      </c>
      <c r="N263" s="46"/>
      <c r="O263" s="393" t="s">
        <v>575</v>
      </c>
      <c r="P263" s="120">
        <v>0.3</v>
      </c>
      <c r="Q263" s="46" t="s">
        <v>221</v>
      </c>
      <c r="R263" s="46">
        <f t="shared" ref="R263:R265" si="33">0.001*P263</f>
        <v>2.9999999999999997E-4</v>
      </c>
      <c r="S263" s="46"/>
      <c r="T263" s="46"/>
      <c r="U263" s="46"/>
    </row>
    <row r="264" spans="1:21">
      <c r="A264" s="338" t="s">
        <v>792</v>
      </c>
      <c r="B264" s="46">
        <f>R264</f>
        <v>8.0999999999999996E-3</v>
      </c>
      <c r="C264" s="46" t="s">
        <v>37</v>
      </c>
      <c r="D264" s="46" t="s">
        <v>40</v>
      </c>
      <c r="E264" s="46" t="s">
        <v>29</v>
      </c>
      <c r="F264" s="32" t="s">
        <v>741</v>
      </c>
      <c r="G264" s="46" t="s">
        <v>33</v>
      </c>
      <c r="H264" s="46">
        <v>2</v>
      </c>
      <c r="I264" s="46">
        <f t="shared" si="32"/>
        <v>-4.8158912173037436</v>
      </c>
      <c r="J264" s="46">
        <v>0.20928449536456342</v>
      </c>
      <c r="K264" s="46" t="s">
        <v>31</v>
      </c>
      <c r="L264" s="46" t="s">
        <v>31</v>
      </c>
      <c r="M264" s="46" t="s">
        <v>31</v>
      </c>
      <c r="N264" s="46"/>
      <c r="O264" s="393" t="s">
        <v>575</v>
      </c>
      <c r="P264" s="120">
        <v>8.1</v>
      </c>
      <c r="Q264" s="46" t="s">
        <v>221</v>
      </c>
      <c r="R264" s="46">
        <f t="shared" si="33"/>
        <v>8.0999999999999996E-3</v>
      </c>
      <c r="S264" s="46"/>
      <c r="T264" s="46"/>
      <c r="U264" s="46"/>
    </row>
    <row r="265" spans="1:21">
      <c r="A265" s="46" t="s">
        <v>777</v>
      </c>
      <c r="B265" s="46">
        <f>R265</f>
        <v>1.9E-3</v>
      </c>
      <c r="C265" s="46" t="s">
        <v>37</v>
      </c>
      <c r="D265" s="400" t="s">
        <v>2</v>
      </c>
      <c r="E265" s="46" t="s">
        <v>29</v>
      </c>
      <c r="F265" s="32" t="s">
        <v>741</v>
      </c>
      <c r="G265" s="46" t="s">
        <v>33</v>
      </c>
      <c r="H265" s="46">
        <v>2</v>
      </c>
      <c r="I265" s="46">
        <f t="shared" si="32"/>
        <v>-6.2659013928097425</v>
      </c>
      <c r="J265" s="46">
        <v>0.20928449536456342</v>
      </c>
      <c r="K265" s="46" t="s">
        <v>31</v>
      </c>
      <c r="L265" s="46" t="s">
        <v>31</v>
      </c>
      <c r="M265" s="46" t="s">
        <v>31</v>
      </c>
      <c r="N265" s="46"/>
      <c r="O265" s="439" t="s">
        <v>575</v>
      </c>
      <c r="P265" s="155">
        <v>1.9</v>
      </c>
      <c r="Q265" s="46" t="s">
        <v>221</v>
      </c>
      <c r="R265" s="46">
        <f t="shared" si="33"/>
        <v>1.9E-3</v>
      </c>
      <c r="S265" s="46"/>
      <c r="T265" s="46"/>
      <c r="U265" s="46"/>
    </row>
    <row r="266" spans="1:21" s="41" customFormat="1">
      <c r="A266" s="362" t="s">
        <v>5</v>
      </c>
      <c r="B266" s="363" t="s">
        <v>945</v>
      </c>
      <c r="C266" s="345"/>
      <c r="D266" s="345"/>
      <c r="E266" s="345"/>
      <c r="F266" s="345"/>
      <c r="G266" s="345"/>
      <c r="H266" s="345"/>
      <c r="I266" s="345"/>
      <c r="J266" s="345"/>
      <c r="K266" s="345"/>
      <c r="L266" s="345"/>
      <c r="M266" s="345"/>
      <c r="N266" s="345"/>
      <c r="O266" s="345"/>
      <c r="P266" s="345"/>
      <c r="Q266" s="345"/>
      <c r="R266" s="345"/>
      <c r="S266" s="345"/>
      <c r="T266" s="345"/>
      <c r="U266" s="345"/>
    </row>
    <row r="267" spans="1:21">
      <c r="A267" s="338" t="s">
        <v>7</v>
      </c>
      <c r="B267" s="46" t="s">
        <v>779</v>
      </c>
      <c r="C267" s="337"/>
      <c r="D267" s="46"/>
      <c r="E267" s="46"/>
      <c r="F267" s="46"/>
      <c r="G267" s="46"/>
      <c r="H267" s="46"/>
      <c r="I267" s="46"/>
      <c r="J267" s="46"/>
      <c r="K267" s="46"/>
      <c r="L267" s="46"/>
      <c r="M267" s="46"/>
      <c r="N267" s="46"/>
      <c r="O267" s="46"/>
      <c r="P267" s="46"/>
      <c r="Q267" s="46"/>
      <c r="R267" s="46"/>
      <c r="S267" s="46"/>
      <c r="T267" s="46"/>
      <c r="U267" s="46"/>
    </row>
    <row r="268" spans="1:21">
      <c r="A268" s="416" t="s">
        <v>9</v>
      </c>
      <c r="B268" s="46" t="s">
        <v>946</v>
      </c>
      <c r="C268" s="337"/>
      <c r="D268" s="46"/>
      <c r="E268" s="46"/>
      <c r="F268" s="46"/>
      <c r="G268" s="46"/>
      <c r="H268" s="46"/>
      <c r="I268" s="46"/>
      <c r="J268" s="46"/>
      <c r="K268" s="46"/>
      <c r="L268" s="46"/>
      <c r="M268" s="46"/>
      <c r="N268" s="46"/>
      <c r="O268" s="46"/>
      <c r="P268" s="46"/>
      <c r="Q268" s="46"/>
      <c r="R268" s="46"/>
      <c r="S268" s="46"/>
      <c r="T268" s="46"/>
      <c r="U268" s="46"/>
    </row>
    <row r="269" spans="1:21" ht="15.75" customHeight="1">
      <c r="A269" s="338" t="s">
        <v>11</v>
      </c>
      <c r="B269" s="339" t="s">
        <v>789</v>
      </c>
      <c r="C269" s="46"/>
      <c r="D269" s="46"/>
      <c r="E269" s="46"/>
      <c r="F269" s="46"/>
      <c r="G269" s="46"/>
      <c r="H269" s="46"/>
      <c r="I269" s="46"/>
      <c r="J269" s="46"/>
      <c r="K269" s="46"/>
      <c r="L269" s="46"/>
      <c r="M269" s="46"/>
      <c r="N269" s="46"/>
      <c r="O269" s="46"/>
      <c r="P269" s="46"/>
      <c r="Q269" s="46"/>
      <c r="R269" s="46"/>
      <c r="S269" s="46"/>
      <c r="T269" s="46"/>
      <c r="U269" s="46"/>
    </row>
    <row r="270" spans="1:21">
      <c r="A270" s="338" t="s">
        <v>13</v>
      </c>
      <c r="B270" s="46" t="s">
        <v>14</v>
      </c>
      <c r="C270" s="46"/>
      <c r="D270" s="46"/>
      <c r="E270" s="46"/>
      <c r="F270" s="46"/>
      <c r="G270" s="46"/>
      <c r="H270" s="46"/>
      <c r="I270" s="46"/>
      <c r="J270" s="46"/>
      <c r="K270" s="46"/>
      <c r="L270" s="46"/>
      <c r="M270" s="46"/>
      <c r="N270" s="46"/>
      <c r="O270" s="46"/>
      <c r="P270" s="46"/>
      <c r="Q270" s="46"/>
      <c r="R270" s="46"/>
      <c r="S270" s="46"/>
      <c r="T270" s="46"/>
      <c r="U270" s="46"/>
    </row>
    <row r="271" spans="1:21">
      <c r="A271" s="338" t="s">
        <v>15</v>
      </c>
      <c r="B271" s="407">
        <f>B276</f>
        <v>6.0000000000000001E-3</v>
      </c>
      <c r="C271" s="46"/>
      <c r="D271" s="46"/>
      <c r="E271" s="46"/>
      <c r="F271" s="46"/>
      <c r="G271" s="46"/>
      <c r="H271" s="46"/>
      <c r="I271" s="46"/>
      <c r="J271" s="46"/>
      <c r="K271" s="46"/>
      <c r="L271" s="46"/>
      <c r="M271" s="46"/>
      <c r="N271" s="46"/>
      <c r="O271" s="46"/>
      <c r="P271" s="46"/>
      <c r="Q271" s="46"/>
      <c r="R271" s="46"/>
      <c r="S271" s="46"/>
      <c r="T271" s="46"/>
      <c r="U271" s="46"/>
    </row>
    <row r="272" spans="1:21">
      <c r="A272" s="338" t="s">
        <v>16</v>
      </c>
      <c r="B272" s="46" t="s">
        <v>17</v>
      </c>
      <c r="C272" s="46"/>
      <c r="D272" s="46"/>
      <c r="E272" s="46"/>
      <c r="F272" s="46"/>
      <c r="G272" s="46"/>
      <c r="H272" s="46"/>
      <c r="I272" s="46"/>
      <c r="J272" s="46"/>
      <c r="K272" s="46"/>
      <c r="L272" s="46"/>
      <c r="M272" s="46"/>
      <c r="N272" s="46"/>
      <c r="O272" s="46"/>
      <c r="P272" s="46"/>
      <c r="Q272" s="46"/>
      <c r="R272" s="46"/>
      <c r="S272" s="46"/>
      <c r="T272" s="46"/>
      <c r="U272" s="46"/>
    </row>
    <row r="273" spans="1:21">
      <c r="A273" s="338" t="s">
        <v>18</v>
      </c>
      <c r="B273" s="46" t="s">
        <v>113</v>
      </c>
      <c r="C273" s="46"/>
      <c r="D273" s="46"/>
      <c r="E273" s="46"/>
      <c r="F273" s="46"/>
      <c r="G273" s="46"/>
      <c r="H273" s="46"/>
      <c r="I273" s="46"/>
      <c r="J273" s="46"/>
      <c r="K273" s="46"/>
      <c r="L273" s="46"/>
      <c r="M273" s="46"/>
      <c r="N273" s="46"/>
      <c r="O273" s="46"/>
      <c r="P273" s="46"/>
      <c r="Q273" s="46"/>
      <c r="R273" s="46"/>
      <c r="S273" s="46"/>
      <c r="T273" s="46"/>
      <c r="U273" s="46"/>
    </row>
    <row r="274" spans="1:21">
      <c r="A274" s="335" t="s">
        <v>19</v>
      </c>
      <c r="B274" s="46"/>
      <c r="C274" s="46"/>
      <c r="D274" s="46"/>
      <c r="E274" s="46"/>
      <c r="F274" s="46"/>
      <c r="G274" s="46"/>
      <c r="H274" s="46"/>
      <c r="I274" s="46"/>
      <c r="J274" s="46"/>
      <c r="K274" s="46"/>
      <c r="L274" s="46"/>
      <c r="M274" s="46"/>
      <c r="N274" s="46"/>
      <c r="O274" s="46"/>
      <c r="P274" s="46"/>
      <c r="Q274" s="46"/>
      <c r="R274" s="46"/>
      <c r="S274" s="46"/>
      <c r="T274" s="46"/>
      <c r="U274" s="46"/>
    </row>
    <row r="275" spans="1:21">
      <c r="A275" s="336" t="s">
        <v>20</v>
      </c>
      <c r="B275" s="336" t="s">
        <v>21</v>
      </c>
      <c r="C275" s="336" t="s">
        <v>18</v>
      </c>
      <c r="D275" s="336" t="s">
        <v>22</v>
      </c>
      <c r="E275" s="336" t="s">
        <v>7</v>
      </c>
      <c r="F275" s="336" t="s">
        <v>13</v>
      </c>
      <c r="G275" s="336" t="s">
        <v>16</v>
      </c>
      <c r="H275" s="336" t="s">
        <v>23</v>
      </c>
      <c r="I275" s="336" t="s">
        <v>24</v>
      </c>
      <c r="J275" s="336" t="s">
        <v>25</v>
      </c>
      <c r="K275" s="336" t="s">
        <v>26</v>
      </c>
      <c r="L275" s="336" t="s">
        <v>27</v>
      </c>
      <c r="M275" s="336" t="s">
        <v>28</v>
      </c>
      <c r="N275" s="336" t="s">
        <v>11</v>
      </c>
      <c r="O275" s="46"/>
      <c r="P275" s="46"/>
      <c r="Q275" s="46"/>
      <c r="R275" s="46"/>
      <c r="S275" s="46"/>
      <c r="T275" s="46"/>
      <c r="U275" s="46"/>
    </row>
    <row r="276" spans="1:21">
      <c r="A276" s="46" t="s">
        <v>945</v>
      </c>
      <c r="B276" s="407">
        <f>B303</f>
        <v>6.0000000000000001E-3</v>
      </c>
      <c r="C276" s="46" t="s">
        <v>113</v>
      </c>
      <c r="D276" s="400" t="s">
        <v>2</v>
      </c>
      <c r="E276" s="46" t="s">
        <v>29</v>
      </c>
      <c r="F276" s="46" t="s">
        <v>14</v>
      </c>
      <c r="G276" s="46" t="s">
        <v>30</v>
      </c>
      <c r="H276" s="46">
        <v>1</v>
      </c>
      <c r="I276" s="46">
        <f t="shared" ref="I276:I277" si="34">B276</f>
        <v>6.0000000000000001E-3</v>
      </c>
      <c r="J276" s="46" t="s">
        <v>31</v>
      </c>
      <c r="K276" s="46" t="s">
        <v>31</v>
      </c>
      <c r="L276" s="46" t="s">
        <v>31</v>
      </c>
      <c r="M276" s="46" t="s">
        <v>31</v>
      </c>
      <c r="N276" s="46"/>
      <c r="O276" s="46"/>
      <c r="P276" s="46"/>
      <c r="Q276" s="46"/>
      <c r="R276" s="46"/>
      <c r="S276" s="46"/>
      <c r="T276" s="46"/>
      <c r="U276" s="46"/>
    </row>
    <row r="277" spans="1:21">
      <c r="A277" s="46" t="s">
        <v>947</v>
      </c>
      <c r="B277" s="407">
        <f>B303</f>
        <v>6.0000000000000001E-3</v>
      </c>
      <c r="C277" s="46" t="s">
        <v>113</v>
      </c>
      <c r="D277" s="400" t="s">
        <v>2</v>
      </c>
      <c r="E277" s="46" t="s">
        <v>29</v>
      </c>
      <c r="F277" s="46" t="s">
        <v>14</v>
      </c>
      <c r="G277" s="46" t="s">
        <v>33</v>
      </c>
      <c r="H277" s="46">
        <v>1</v>
      </c>
      <c r="I277" s="46">
        <f t="shared" si="34"/>
        <v>6.0000000000000001E-3</v>
      </c>
      <c r="J277" s="46" t="s">
        <v>31</v>
      </c>
      <c r="K277" s="46" t="s">
        <v>31</v>
      </c>
      <c r="L277" s="46" t="s">
        <v>31</v>
      </c>
      <c r="M277" s="46" t="s">
        <v>31</v>
      </c>
      <c r="N277" s="46"/>
      <c r="O277" s="46"/>
      <c r="P277" s="46"/>
      <c r="Q277" s="46"/>
      <c r="R277" s="46"/>
      <c r="S277" s="46"/>
      <c r="T277" s="46"/>
      <c r="U277" s="46"/>
    </row>
    <row r="278" spans="1:21">
      <c r="A278" s="338" t="s">
        <v>75</v>
      </c>
      <c r="B278" s="342">
        <f>P278</f>
        <v>1.1499999999999999</v>
      </c>
      <c r="C278" s="46" t="s">
        <v>39</v>
      </c>
      <c r="D278" s="46" t="s">
        <v>40</v>
      </c>
      <c r="E278" s="46" t="s">
        <v>29</v>
      </c>
      <c r="F278" s="32" t="s">
        <v>35</v>
      </c>
      <c r="G278" s="46" t="s">
        <v>33</v>
      </c>
      <c r="H278" s="46">
        <v>2</v>
      </c>
      <c r="I278" s="46">
        <f t="shared" ref="I278:I279" si="35">LN(B278)</f>
        <v>0.13976194237515863</v>
      </c>
      <c r="J278" s="46">
        <v>0.20928449536456342</v>
      </c>
      <c r="K278" s="46" t="s">
        <v>31</v>
      </c>
      <c r="L278" s="46" t="s">
        <v>31</v>
      </c>
      <c r="M278" s="46" t="s">
        <v>31</v>
      </c>
      <c r="N278" s="46"/>
      <c r="O278" s="393" t="s">
        <v>216</v>
      </c>
      <c r="P278" s="406">
        <f>0.79+0.36</f>
        <v>1.1499999999999999</v>
      </c>
      <c r="Q278" s="46"/>
      <c r="R278" s="46"/>
      <c r="S278" s="46"/>
      <c r="T278" s="46"/>
      <c r="U278" s="46"/>
    </row>
    <row r="279" spans="1:21">
      <c r="A279" s="338" t="s">
        <v>792</v>
      </c>
      <c r="B279" s="46">
        <f>R279</f>
        <v>2.3E-3</v>
      </c>
      <c r="C279" s="46" t="s">
        <v>37</v>
      </c>
      <c r="D279" s="46" t="s">
        <v>40</v>
      </c>
      <c r="E279" s="46" t="s">
        <v>29</v>
      </c>
      <c r="F279" s="32" t="s">
        <v>741</v>
      </c>
      <c r="G279" s="46" t="s">
        <v>33</v>
      </c>
      <c r="H279" s="46">
        <v>2</v>
      </c>
      <c r="I279" s="46">
        <f t="shared" si="35"/>
        <v>-6.074846156047033</v>
      </c>
      <c r="J279" s="46">
        <v>0.20928449536456342</v>
      </c>
      <c r="K279" s="46" t="s">
        <v>31</v>
      </c>
      <c r="L279" s="46" t="s">
        <v>31</v>
      </c>
      <c r="M279" s="46" t="s">
        <v>31</v>
      </c>
      <c r="N279" s="46"/>
      <c r="O279" s="393" t="s">
        <v>575</v>
      </c>
      <c r="P279" s="120">
        <v>2.2999999999999998</v>
      </c>
      <c r="Q279" s="46" t="s">
        <v>221</v>
      </c>
      <c r="R279" s="46">
        <f>P279*0.001</f>
        <v>2.3E-3</v>
      </c>
      <c r="S279" s="46"/>
      <c r="T279" s="46"/>
      <c r="U279" s="46"/>
    </row>
    <row r="280" spans="1:21">
      <c r="A280" s="32" t="s">
        <v>530</v>
      </c>
      <c r="B280" s="46">
        <f>R280</f>
        <v>2.8E-3</v>
      </c>
      <c r="C280" s="46" t="s">
        <v>37</v>
      </c>
      <c r="D280" s="46" t="s">
        <v>40</v>
      </c>
      <c r="E280" s="46" t="s">
        <v>29</v>
      </c>
      <c r="F280" s="46" t="s">
        <v>35</v>
      </c>
      <c r="G280" s="46" t="s">
        <v>33</v>
      </c>
      <c r="H280" s="46">
        <v>2</v>
      </c>
      <c r="I280" s="46">
        <f>LN(B280)</f>
        <v>-5.8781358618009785</v>
      </c>
      <c r="J280" s="46">
        <v>0.20928449536456342</v>
      </c>
      <c r="K280" s="46" t="s">
        <v>31</v>
      </c>
      <c r="L280" s="46" t="s">
        <v>31</v>
      </c>
      <c r="M280" s="46" t="s">
        <v>31</v>
      </c>
      <c r="N280" s="46"/>
      <c r="O280" s="393" t="s">
        <v>575</v>
      </c>
      <c r="P280" s="120">
        <v>2.8</v>
      </c>
      <c r="Q280" s="46" t="s">
        <v>221</v>
      </c>
      <c r="R280" s="46">
        <f>P280*0.001</f>
        <v>2.8E-3</v>
      </c>
      <c r="S280" s="46"/>
      <c r="T280" s="46"/>
      <c r="U280" s="46"/>
    </row>
    <row r="281" spans="1:21">
      <c r="A281" s="46" t="s">
        <v>777</v>
      </c>
      <c r="B281" s="46">
        <f>R281</f>
        <v>2.8E-3</v>
      </c>
      <c r="C281" s="46" t="s">
        <v>37</v>
      </c>
      <c r="D281" s="400" t="s">
        <v>2</v>
      </c>
      <c r="E281" s="46" t="s">
        <v>29</v>
      </c>
      <c r="F281" s="32" t="s">
        <v>741</v>
      </c>
      <c r="G281" s="46" t="s">
        <v>33</v>
      </c>
      <c r="H281" s="46">
        <v>2</v>
      </c>
      <c r="I281" s="46">
        <f t="shared" ref="I281" si="36">LN(B281)</f>
        <v>-5.8781358618009785</v>
      </c>
      <c r="J281" s="46">
        <v>0.20928449536456342</v>
      </c>
      <c r="K281" s="46" t="s">
        <v>31</v>
      </c>
      <c r="L281" s="46" t="s">
        <v>31</v>
      </c>
      <c r="M281" s="46" t="s">
        <v>31</v>
      </c>
      <c r="N281" s="46"/>
      <c r="O281" s="439" t="s">
        <v>575</v>
      </c>
      <c r="P281" s="155">
        <v>2.8</v>
      </c>
      <c r="Q281" s="46" t="s">
        <v>221</v>
      </c>
      <c r="R281" s="46">
        <f t="shared" ref="R281" si="37">0.001*P281</f>
        <v>2.8E-3</v>
      </c>
      <c r="S281" s="46"/>
      <c r="T281" s="46"/>
      <c r="U281" s="46"/>
    </row>
    <row r="282" spans="1:21" s="41" customFormat="1">
      <c r="A282" s="362" t="s">
        <v>5</v>
      </c>
      <c r="B282" s="363" t="s">
        <v>947</v>
      </c>
      <c r="C282" s="345"/>
      <c r="D282" s="345"/>
      <c r="E282" s="345"/>
      <c r="F282" s="345"/>
      <c r="G282" s="345"/>
      <c r="H282" s="345"/>
      <c r="I282" s="345"/>
      <c r="J282" s="345"/>
      <c r="K282" s="345"/>
      <c r="L282" s="345"/>
      <c r="M282" s="345"/>
      <c r="N282" s="345"/>
      <c r="O282" s="345"/>
      <c r="P282" s="345"/>
      <c r="Q282" s="345"/>
      <c r="R282" s="345"/>
      <c r="S282" s="345"/>
      <c r="T282" s="345"/>
      <c r="U282" s="345"/>
    </row>
    <row r="283" spans="1:21">
      <c r="A283" s="338" t="s">
        <v>7</v>
      </c>
      <c r="B283" s="46" t="s">
        <v>779</v>
      </c>
      <c r="C283" s="337"/>
      <c r="D283" s="46"/>
      <c r="E283" s="46"/>
      <c r="F283" s="46"/>
      <c r="G283" s="46"/>
      <c r="H283" s="46"/>
      <c r="I283" s="46"/>
      <c r="J283" s="46"/>
      <c r="K283" s="46"/>
      <c r="L283" s="46"/>
      <c r="M283" s="46"/>
      <c r="N283" s="46"/>
      <c r="O283" s="46"/>
      <c r="P283" s="46"/>
      <c r="Q283" s="46"/>
      <c r="R283" s="46"/>
      <c r="S283" s="46"/>
      <c r="T283" s="46"/>
      <c r="U283" s="46"/>
    </row>
    <row r="284" spans="1:21">
      <c r="A284" s="416" t="s">
        <v>9</v>
      </c>
      <c r="B284" s="46" t="s">
        <v>948</v>
      </c>
      <c r="C284" s="337"/>
      <c r="D284" s="46"/>
      <c r="E284" s="46"/>
      <c r="F284" s="46"/>
      <c r="G284" s="46"/>
      <c r="H284" s="46"/>
      <c r="I284" s="46"/>
      <c r="J284" s="46"/>
      <c r="K284" s="46"/>
      <c r="L284" s="46"/>
      <c r="M284" s="46"/>
      <c r="N284" s="46"/>
      <c r="O284" s="46"/>
      <c r="P284" s="46"/>
      <c r="Q284" s="46"/>
      <c r="R284" s="46"/>
      <c r="S284" s="46"/>
      <c r="T284" s="46"/>
      <c r="U284" s="46"/>
    </row>
    <row r="285" spans="1:21" ht="15.75" customHeight="1">
      <c r="A285" s="338" t="s">
        <v>11</v>
      </c>
      <c r="B285" s="339" t="s">
        <v>789</v>
      </c>
      <c r="C285" s="46"/>
      <c r="D285" s="46"/>
      <c r="E285" s="46"/>
      <c r="F285" s="46"/>
      <c r="G285" s="46"/>
      <c r="H285" s="46"/>
      <c r="I285" s="46"/>
      <c r="J285" s="46"/>
      <c r="K285" s="46"/>
      <c r="L285" s="46"/>
      <c r="M285" s="46"/>
      <c r="N285" s="46"/>
      <c r="O285" s="46"/>
      <c r="P285" s="46"/>
      <c r="Q285" s="46"/>
      <c r="R285" s="46"/>
      <c r="S285" s="46"/>
      <c r="T285" s="46"/>
      <c r="U285" s="46"/>
    </row>
    <row r="286" spans="1:21">
      <c r="A286" s="338" t="s">
        <v>13</v>
      </c>
      <c r="B286" s="46" t="s">
        <v>14</v>
      </c>
      <c r="C286" s="46"/>
      <c r="D286" s="46"/>
      <c r="E286" s="46"/>
      <c r="F286" s="46"/>
      <c r="G286" s="46"/>
      <c r="H286" s="46"/>
      <c r="I286" s="46"/>
      <c r="J286" s="46"/>
      <c r="K286" s="46"/>
      <c r="L286" s="46"/>
      <c r="M286" s="46"/>
      <c r="N286" s="46"/>
      <c r="O286" s="46"/>
      <c r="P286" s="46"/>
      <c r="Q286" s="46"/>
      <c r="R286" s="46"/>
      <c r="S286" s="46"/>
      <c r="T286" s="46"/>
      <c r="U286" s="46"/>
    </row>
    <row r="287" spans="1:21">
      <c r="A287" s="338" t="s">
        <v>15</v>
      </c>
      <c r="B287" s="407">
        <f>B292</f>
        <v>0.01</v>
      </c>
      <c r="C287" s="46"/>
      <c r="D287" s="46"/>
      <c r="E287" s="46"/>
      <c r="F287" s="46"/>
      <c r="G287" s="46"/>
      <c r="H287" s="46"/>
      <c r="I287" s="46"/>
      <c r="J287" s="46"/>
      <c r="K287" s="46"/>
      <c r="L287" s="46"/>
      <c r="M287" s="46"/>
      <c r="N287" s="46"/>
      <c r="O287" s="46"/>
      <c r="P287" s="46"/>
      <c r="Q287" s="46"/>
      <c r="R287" s="336" t="s">
        <v>880</v>
      </c>
      <c r="S287" s="46"/>
      <c r="T287" s="46"/>
      <c r="U287" s="46"/>
    </row>
    <row r="288" spans="1:21">
      <c r="A288" s="338" t="s">
        <v>16</v>
      </c>
      <c r="B288" s="46" t="s">
        <v>17</v>
      </c>
      <c r="C288" s="46"/>
      <c r="D288" s="46"/>
      <c r="E288" s="46"/>
      <c r="F288" s="46"/>
      <c r="G288" s="46"/>
      <c r="H288" s="46"/>
      <c r="I288" s="46"/>
      <c r="J288" s="46"/>
      <c r="K288" s="46"/>
      <c r="L288" s="46"/>
      <c r="M288" s="46"/>
      <c r="N288" s="46"/>
      <c r="O288" s="46"/>
      <c r="P288" s="46"/>
      <c r="Q288" s="46"/>
      <c r="R288" s="46" t="s">
        <v>881</v>
      </c>
      <c r="S288" s="46">
        <v>8900</v>
      </c>
      <c r="T288" s="46" t="s">
        <v>882</v>
      </c>
      <c r="U288" s="46"/>
    </row>
    <row r="289" spans="1:21">
      <c r="A289" s="338" t="s">
        <v>18</v>
      </c>
      <c r="B289" s="46" t="s">
        <v>113</v>
      </c>
      <c r="C289" s="46"/>
      <c r="D289" s="46"/>
      <c r="E289" s="46"/>
      <c r="F289" s="46"/>
      <c r="G289" s="46"/>
      <c r="H289" s="46"/>
      <c r="I289" s="46"/>
      <c r="J289" s="46"/>
      <c r="K289" s="46"/>
      <c r="L289" s="46"/>
      <c r="M289" s="46"/>
      <c r="N289" s="46"/>
      <c r="O289" s="46"/>
      <c r="P289" s="46"/>
      <c r="Q289" s="46"/>
      <c r="R289" s="46" t="s">
        <v>883</v>
      </c>
      <c r="S289" s="46">
        <f>5*10^-6</f>
        <v>4.9999999999999996E-6</v>
      </c>
      <c r="T289" s="46" t="s">
        <v>884</v>
      </c>
      <c r="U289" s="46"/>
    </row>
    <row r="290" spans="1:21">
      <c r="A290" s="335" t="s">
        <v>19</v>
      </c>
      <c r="B290" s="46"/>
      <c r="C290" s="46"/>
      <c r="D290" s="46"/>
      <c r="E290" s="46"/>
      <c r="F290" s="46"/>
      <c r="G290" s="46"/>
      <c r="H290" s="46"/>
      <c r="I290" s="46"/>
      <c r="J290" s="46"/>
      <c r="K290" s="46"/>
      <c r="L290" s="46"/>
      <c r="M290" s="46"/>
      <c r="N290" s="46"/>
      <c r="O290" s="46"/>
      <c r="P290" s="46"/>
      <c r="Q290" s="46"/>
      <c r="R290" s="419" t="s">
        <v>885</v>
      </c>
      <c r="S290" s="420">
        <f>S289*S288</f>
        <v>4.4499999999999998E-2</v>
      </c>
      <c r="T290" s="421" t="s">
        <v>886</v>
      </c>
      <c r="U290" s="46"/>
    </row>
    <row r="291" spans="1:21">
      <c r="A291" s="336" t="s">
        <v>20</v>
      </c>
      <c r="B291" s="336" t="s">
        <v>21</v>
      </c>
      <c r="C291" s="336" t="s">
        <v>18</v>
      </c>
      <c r="D291" s="336" t="s">
        <v>22</v>
      </c>
      <c r="E291" s="336" t="s">
        <v>7</v>
      </c>
      <c r="F291" s="336" t="s">
        <v>13</v>
      </c>
      <c r="G291" s="336" t="s">
        <v>16</v>
      </c>
      <c r="H291" s="336" t="s">
        <v>23</v>
      </c>
      <c r="I291" s="336" t="s">
        <v>24</v>
      </c>
      <c r="J291" s="336" t="s">
        <v>25</v>
      </c>
      <c r="K291" s="336" t="s">
        <v>26</v>
      </c>
      <c r="L291" s="336" t="s">
        <v>27</v>
      </c>
      <c r="M291" s="336" t="s">
        <v>28</v>
      </c>
      <c r="N291" s="336" t="s">
        <v>11</v>
      </c>
      <c r="O291" s="46"/>
      <c r="P291" s="46"/>
      <c r="Q291" s="46"/>
      <c r="R291" s="46"/>
      <c r="S291" s="46"/>
      <c r="T291" s="46"/>
      <c r="U291" s="46"/>
    </row>
    <row r="292" spans="1:21">
      <c r="A292" s="46" t="s">
        <v>947</v>
      </c>
      <c r="B292" s="407">
        <v>0.01</v>
      </c>
      <c r="C292" s="46" t="s">
        <v>113</v>
      </c>
      <c r="D292" s="400" t="s">
        <v>2</v>
      </c>
      <c r="E292" s="46" t="s">
        <v>29</v>
      </c>
      <c r="F292" s="46" t="s">
        <v>14</v>
      </c>
      <c r="G292" s="46" t="s">
        <v>30</v>
      </c>
      <c r="H292" s="46">
        <v>1</v>
      </c>
      <c r="I292" s="46">
        <f t="shared" ref="I292:I294" si="38">B292</f>
        <v>0.01</v>
      </c>
      <c r="J292" s="46" t="s">
        <v>31</v>
      </c>
      <c r="K292" s="46" t="s">
        <v>31</v>
      </c>
      <c r="L292" s="46" t="s">
        <v>31</v>
      </c>
      <c r="M292" s="46" t="s">
        <v>31</v>
      </c>
      <c r="N292" s="46"/>
      <c r="O292" s="393" t="s">
        <v>887</v>
      </c>
      <c r="P292" s="406">
        <f>B292*100</f>
        <v>1</v>
      </c>
      <c r="Q292" s="46"/>
      <c r="R292" s="46" t="s">
        <v>548</v>
      </c>
      <c r="S292" s="46"/>
      <c r="T292" s="46"/>
      <c r="U292" s="402"/>
    </row>
    <row r="293" spans="1:21">
      <c r="A293" s="46" t="s">
        <v>949</v>
      </c>
      <c r="B293" s="407">
        <v>0.01</v>
      </c>
      <c r="C293" s="46" t="s">
        <v>113</v>
      </c>
      <c r="D293" s="400" t="s">
        <v>2</v>
      </c>
      <c r="E293" s="46" t="s">
        <v>29</v>
      </c>
      <c r="F293" s="46" t="s">
        <v>14</v>
      </c>
      <c r="G293" s="46" t="s">
        <v>33</v>
      </c>
      <c r="H293" s="46">
        <v>1</v>
      </c>
      <c r="I293" s="46">
        <f t="shared" si="38"/>
        <v>0.01</v>
      </c>
      <c r="J293" s="46">
        <v>7.2284161474004766E-2</v>
      </c>
      <c r="K293" s="46" t="s">
        <v>31</v>
      </c>
      <c r="L293" s="46" t="s">
        <v>31</v>
      </c>
      <c r="M293" s="46" t="s">
        <v>31</v>
      </c>
      <c r="N293" s="46"/>
      <c r="O293" s="393" t="s">
        <v>887</v>
      </c>
      <c r="P293" s="406">
        <f>B293*100</f>
        <v>1</v>
      </c>
      <c r="Q293" s="46"/>
      <c r="R293" s="422">
        <v>0.17</v>
      </c>
      <c r="S293" s="423" t="s">
        <v>605</v>
      </c>
      <c r="T293" s="422">
        <f>R293*S290</f>
        <v>7.5650000000000005E-3</v>
      </c>
      <c r="U293" s="423" t="s">
        <v>221</v>
      </c>
    </row>
    <row r="294" spans="1:21">
      <c r="A294" s="62" t="s">
        <v>867</v>
      </c>
      <c r="B294" s="412">
        <f>T293</f>
        <v>7.5650000000000005E-3</v>
      </c>
      <c r="C294" s="46" t="s">
        <v>37</v>
      </c>
      <c r="D294" s="400" t="s">
        <v>2</v>
      </c>
      <c r="E294" s="46" t="s">
        <v>29</v>
      </c>
      <c r="F294" s="32" t="s">
        <v>14</v>
      </c>
      <c r="G294" s="46" t="s">
        <v>33</v>
      </c>
      <c r="H294" s="46">
        <v>1</v>
      </c>
      <c r="I294" s="46">
        <f t="shared" si="38"/>
        <v>7.5650000000000005E-3</v>
      </c>
      <c r="J294" s="46">
        <v>7.2284161474004766E-2</v>
      </c>
      <c r="K294" s="46" t="s">
        <v>31</v>
      </c>
      <c r="L294" s="46" t="s">
        <v>31</v>
      </c>
      <c r="M294" s="46" t="s">
        <v>31</v>
      </c>
      <c r="N294" s="46"/>
      <c r="O294" s="424"/>
      <c r="P294" s="425"/>
      <c r="Q294" s="46"/>
      <c r="R294" s="46"/>
      <c r="S294" s="46"/>
      <c r="T294" s="46"/>
      <c r="U294" s="46"/>
    </row>
    <row r="295" spans="1:21">
      <c r="A295" s="338" t="s">
        <v>792</v>
      </c>
      <c r="B295" s="46">
        <v>1.3</v>
      </c>
      <c r="C295" s="46" t="s">
        <v>37</v>
      </c>
      <c r="D295" s="46" t="s">
        <v>40</v>
      </c>
      <c r="E295" s="46" t="s">
        <v>29</v>
      </c>
      <c r="F295" s="32" t="s">
        <v>741</v>
      </c>
      <c r="G295" s="46" t="s">
        <v>33</v>
      </c>
      <c r="H295" s="46">
        <v>2</v>
      </c>
      <c r="I295" s="46">
        <f t="shared" ref="I295" si="39">LN(B295)</f>
        <v>0.26236426446749106</v>
      </c>
      <c r="J295" s="46">
        <v>7.2284161474004766E-2</v>
      </c>
      <c r="K295" s="46" t="s">
        <v>31</v>
      </c>
      <c r="L295" s="46" t="s">
        <v>31</v>
      </c>
      <c r="M295" s="46" t="s">
        <v>31</v>
      </c>
      <c r="N295" s="46"/>
      <c r="O295" s="424"/>
      <c r="P295" s="425"/>
      <c r="Q295" s="46"/>
      <c r="R295" s="46"/>
      <c r="S295" s="46"/>
      <c r="T295" s="46"/>
      <c r="U295" s="46"/>
    </row>
    <row r="296" spans="1:21">
      <c r="A296" s="32" t="s">
        <v>869</v>
      </c>
      <c r="B296" s="342">
        <v>0.1</v>
      </c>
      <c r="C296" s="46" t="s">
        <v>37</v>
      </c>
      <c r="D296" s="46" t="s">
        <v>40</v>
      </c>
      <c r="E296" s="46" t="s">
        <v>29</v>
      </c>
      <c r="F296" s="32" t="s">
        <v>58</v>
      </c>
      <c r="G296" s="46" t="s">
        <v>33</v>
      </c>
      <c r="H296" s="46">
        <v>2</v>
      </c>
      <c r="I296" s="46">
        <f>LN(B296)</f>
        <v>-2.3025850929940455</v>
      </c>
      <c r="J296" s="46">
        <v>7.2284161474004766E-2</v>
      </c>
      <c r="K296" s="46" t="s">
        <v>31</v>
      </c>
      <c r="L296" s="46" t="s">
        <v>31</v>
      </c>
      <c r="M296" s="46" t="s">
        <v>31</v>
      </c>
      <c r="N296" s="46"/>
      <c r="O296" s="424"/>
      <c r="P296" s="425"/>
      <c r="Q296" s="46"/>
      <c r="R296" s="46"/>
      <c r="S296" s="46"/>
      <c r="T296" s="46"/>
      <c r="U296" s="46"/>
    </row>
    <row r="297" spans="1:21">
      <c r="A297" s="32" t="s">
        <v>226</v>
      </c>
      <c r="B297" s="46">
        <v>1.3</v>
      </c>
      <c r="C297" s="46" t="s">
        <v>42</v>
      </c>
      <c r="D297" s="46" t="s">
        <v>40</v>
      </c>
      <c r="E297" s="46" t="s">
        <v>29</v>
      </c>
      <c r="F297" s="32" t="s">
        <v>741</v>
      </c>
      <c r="G297" s="46" t="s">
        <v>33</v>
      </c>
      <c r="H297" s="46">
        <v>2</v>
      </c>
      <c r="I297" s="46">
        <f t="shared" ref="I297" si="40">LN(B297)</f>
        <v>0.26236426446749106</v>
      </c>
      <c r="J297" s="46">
        <v>7.2284161474004766E-2</v>
      </c>
      <c r="K297" s="46" t="s">
        <v>31</v>
      </c>
      <c r="L297" s="46" t="s">
        <v>31</v>
      </c>
      <c r="M297" s="46" t="s">
        <v>31</v>
      </c>
      <c r="N297" s="46"/>
      <c r="O297" s="62"/>
      <c r="P297" s="413"/>
      <c r="Q297" s="427"/>
      <c r="R297" s="46"/>
      <c r="S297" s="46"/>
      <c r="T297" s="46"/>
      <c r="U297" s="46"/>
    </row>
    <row r="298" spans="1:21" s="41" customFormat="1">
      <c r="A298" s="362" t="s">
        <v>5</v>
      </c>
      <c r="B298" s="363" t="s">
        <v>949</v>
      </c>
      <c r="C298" s="345"/>
      <c r="D298" s="345"/>
      <c r="E298" s="345"/>
      <c r="F298" s="345"/>
      <c r="G298" s="345"/>
      <c r="H298" s="345"/>
      <c r="I298" s="345"/>
      <c r="J298" s="345"/>
      <c r="K298" s="345"/>
      <c r="L298" s="345"/>
      <c r="M298" s="345"/>
      <c r="N298" s="345"/>
      <c r="O298" s="345"/>
      <c r="P298" s="345"/>
      <c r="Q298" s="345"/>
      <c r="R298" s="345"/>
      <c r="S298" s="345"/>
      <c r="T298" s="345"/>
      <c r="U298" s="345"/>
    </row>
    <row r="299" spans="1:21">
      <c r="A299" s="338" t="s">
        <v>7</v>
      </c>
      <c r="B299" s="46" t="s">
        <v>779</v>
      </c>
      <c r="C299" s="337"/>
      <c r="D299" s="46"/>
      <c r="E299" s="46"/>
      <c r="F299" s="46"/>
      <c r="G299" s="46"/>
      <c r="H299" s="46"/>
      <c r="I299" s="46"/>
      <c r="J299" s="46"/>
      <c r="K299" s="46"/>
      <c r="L299" s="46"/>
      <c r="M299" s="46"/>
      <c r="N299" s="46"/>
      <c r="O299" s="46"/>
      <c r="P299" s="46"/>
      <c r="Q299" s="46"/>
      <c r="R299" s="46"/>
      <c r="S299" s="46"/>
      <c r="T299" s="46"/>
      <c r="U299" s="46"/>
    </row>
    <row r="300" spans="1:21">
      <c r="A300" s="416" t="s">
        <v>9</v>
      </c>
      <c r="B300" s="46" t="s">
        <v>950</v>
      </c>
      <c r="C300" s="337"/>
      <c r="D300" s="46"/>
      <c r="E300" s="46"/>
      <c r="F300" s="46"/>
      <c r="G300" s="46"/>
      <c r="H300" s="46"/>
      <c r="I300" s="46"/>
      <c r="J300" s="46"/>
      <c r="K300" s="46"/>
      <c r="L300" s="46"/>
      <c r="M300" s="46"/>
      <c r="N300" s="46"/>
      <c r="O300" s="46"/>
      <c r="P300" s="46"/>
      <c r="Q300" s="46"/>
      <c r="R300" s="46"/>
      <c r="S300" s="46"/>
      <c r="T300" s="46"/>
      <c r="U300" s="46"/>
    </row>
    <row r="301" spans="1:21" ht="15.75" customHeight="1">
      <c r="A301" s="338" t="s">
        <v>11</v>
      </c>
      <c r="B301" s="339" t="s">
        <v>789</v>
      </c>
      <c r="C301" s="46"/>
      <c r="D301" s="46"/>
      <c r="E301" s="46"/>
      <c r="F301" s="46"/>
      <c r="G301" s="46"/>
      <c r="H301" s="46"/>
      <c r="I301" s="46"/>
      <c r="J301" s="46"/>
      <c r="K301" s="46"/>
      <c r="L301" s="46"/>
      <c r="M301" s="46"/>
      <c r="N301" s="46"/>
      <c r="O301" s="46"/>
      <c r="P301" s="46"/>
      <c r="Q301" s="46"/>
      <c r="R301" s="46"/>
      <c r="S301" s="46"/>
      <c r="T301" s="46"/>
      <c r="U301" s="46"/>
    </row>
    <row r="302" spans="1:21">
      <c r="A302" s="338" t="s">
        <v>13</v>
      </c>
      <c r="B302" s="46" t="s">
        <v>14</v>
      </c>
      <c r="C302" s="46"/>
      <c r="D302" s="46"/>
      <c r="E302" s="46"/>
      <c r="F302" s="46"/>
      <c r="G302" s="46"/>
      <c r="H302" s="46"/>
      <c r="I302" s="46"/>
      <c r="J302" s="46"/>
      <c r="K302" s="46"/>
      <c r="L302" s="46"/>
      <c r="M302" s="46"/>
      <c r="N302" s="46"/>
      <c r="O302" s="46"/>
      <c r="P302" s="46"/>
      <c r="Q302" s="46"/>
      <c r="R302" s="46"/>
      <c r="S302" s="46"/>
      <c r="T302" s="46"/>
      <c r="U302" s="46"/>
    </row>
    <row r="303" spans="1:21">
      <c r="A303" s="338" t="s">
        <v>15</v>
      </c>
      <c r="B303" s="407">
        <f>B308</f>
        <v>6.0000000000000001E-3</v>
      </c>
      <c r="C303" s="46"/>
      <c r="D303" s="46"/>
      <c r="E303" s="46"/>
      <c r="F303" s="46"/>
      <c r="G303" s="46"/>
      <c r="H303" s="46"/>
      <c r="I303" s="46"/>
      <c r="J303" s="46"/>
      <c r="K303" s="46"/>
      <c r="L303" s="46"/>
      <c r="M303" s="46"/>
      <c r="N303" s="46"/>
      <c r="O303" s="46"/>
      <c r="P303" s="46"/>
      <c r="Q303" s="46"/>
      <c r="R303" s="46"/>
      <c r="S303" s="46"/>
      <c r="T303" s="46"/>
      <c r="U303" s="46"/>
    </row>
    <row r="304" spans="1:21">
      <c r="A304" s="338" t="s">
        <v>16</v>
      </c>
      <c r="B304" s="46" t="s">
        <v>17</v>
      </c>
      <c r="C304" s="46"/>
      <c r="D304" s="46"/>
      <c r="E304" s="46"/>
      <c r="F304" s="46"/>
      <c r="G304" s="46"/>
      <c r="H304" s="46"/>
      <c r="I304" s="46"/>
      <c r="J304" s="46"/>
      <c r="K304" s="46"/>
      <c r="L304" s="46"/>
      <c r="M304" s="46"/>
      <c r="N304" s="46"/>
      <c r="O304" s="46"/>
      <c r="P304" s="46"/>
      <c r="Q304" s="46"/>
      <c r="R304" s="46"/>
      <c r="S304" s="46"/>
      <c r="T304" s="46"/>
      <c r="U304" s="46"/>
    </row>
    <row r="305" spans="1:21">
      <c r="A305" s="338" t="s">
        <v>18</v>
      </c>
      <c r="B305" s="46" t="s">
        <v>113</v>
      </c>
      <c r="C305" s="46"/>
      <c r="D305" s="46"/>
      <c r="E305" s="46"/>
      <c r="F305" s="46"/>
      <c r="G305" s="46"/>
      <c r="H305" s="46"/>
      <c r="I305" s="46"/>
      <c r="J305" s="46"/>
      <c r="K305" s="46"/>
      <c r="L305" s="46"/>
      <c r="M305" s="46"/>
      <c r="N305" s="46"/>
      <c r="O305" s="46"/>
      <c r="P305" s="46"/>
      <c r="Q305" s="46"/>
      <c r="R305" s="46"/>
      <c r="S305" s="46"/>
      <c r="T305" s="46"/>
      <c r="U305" s="46"/>
    </row>
    <row r="306" spans="1:21">
      <c r="A306" s="335" t="s">
        <v>19</v>
      </c>
      <c r="B306" s="46"/>
      <c r="C306" s="46"/>
      <c r="D306" s="46"/>
      <c r="E306" s="46"/>
      <c r="F306" s="46"/>
      <c r="G306" s="46"/>
      <c r="H306" s="46"/>
      <c r="I306" s="46"/>
      <c r="J306" s="46"/>
      <c r="K306" s="46"/>
      <c r="L306" s="46"/>
      <c r="M306" s="46"/>
      <c r="N306" s="46"/>
      <c r="O306" s="46"/>
      <c r="P306" s="46"/>
      <c r="Q306" s="46"/>
      <c r="R306" s="46"/>
      <c r="S306" s="46"/>
      <c r="T306" s="46"/>
      <c r="U306" s="46"/>
    </row>
    <row r="307" spans="1:21">
      <c r="A307" s="336" t="s">
        <v>20</v>
      </c>
      <c r="B307" s="336" t="s">
        <v>21</v>
      </c>
      <c r="C307" s="336" t="s">
        <v>18</v>
      </c>
      <c r="D307" s="336" t="s">
        <v>22</v>
      </c>
      <c r="E307" s="336" t="s">
        <v>7</v>
      </c>
      <c r="F307" s="336" t="s">
        <v>13</v>
      </c>
      <c r="G307" s="336" t="s">
        <v>16</v>
      </c>
      <c r="H307" s="336" t="s">
        <v>23</v>
      </c>
      <c r="I307" s="336" t="s">
        <v>24</v>
      </c>
      <c r="J307" s="336" t="s">
        <v>25</v>
      </c>
      <c r="K307" s="336" t="s">
        <v>26</v>
      </c>
      <c r="L307" s="336" t="s">
        <v>27</v>
      </c>
      <c r="M307" s="336" t="s">
        <v>28</v>
      </c>
      <c r="N307" s="336" t="s">
        <v>11</v>
      </c>
      <c r="O307" s="46"/>
      <c r="P307" s="46"/>
      <c r="Q307" s="46"/>
      <c r="R307" s="46"/>
      <c r="S307" s="46"/>
      <c r="T307" s="407"/>
      <c r="U307" s="46"/>
    </row>
    <row r="308" spans="1:21">
      <c r="A308" s="46" t="s">
        <v>949</v>
      </c>
      <c r="B308" s="407">
        <f>B309</f>
        <v>6.0000000000000001E-3</v>
      </c>
      <c r="C308" s="46" t="s">
        <v>113</v>
      </c>
      <c r="D308" s="400" t="s">
        <v>2</v>
      </c>
      <c r="E308" s="46" t="s">
        <v>29</v>
      </c>
      <c r="F308" s="46" t="s">
        <v>14</v>
      </c>
      <c r="G308" s="46" t="s">
        <v>30</v>
      </c>
      <c r="H308" s="46">
        <v>1</v>
      </c>
      <c r="I308" s="46">
        <f t="shared" ref="I308:I309" si="41">B308</f>
        <v>6.0000000000000001E-3</v>
      </c>
      <c r="J308" s="46" t="s">
        <v>31</v>
      </c>
      <c r="K308" s="46" t="s">
        <v>31</v>
      </c>
      <c r="L308" s="46" t="s">
        <v>31</v>
      </c>
      <c r="M308" s="46" t="s">
        <v>31</v>
      </c>
      <c r="N308" s="46"/>
      <c r="O308" s="46"/>
      <c r="P308" s="46"/>
      <c r="Q308" s="46"/>
      <c r="R308" s="46"/>
      <c r="S308" s="46"/>
      <c r="T308" s="46"/>
      <c r="U308" s="46"/>
    </row>
    <row r="309" spans="1:21">
      <c r="A309" s="46" t="s">
        <v>951</v>
      </c>
      <c r="B309" s="407">
        <v>6.0000000000000001E-3</v>
      </c>
      <c r="C309" s="46" t="s">
        <v>113</v>
      </c>
      <c r="D309" s="400" t="s">
        <v>2</v>
      </c>
      <c r="E309" s="46" t="s">
        <v>29</v>
      </c>
      <c r="F309" s="46" t="s">
        <v>14</v>
      </c>
      <c r="G309" s="46" t="s">
        <v>33</v>
      </c>
      <c r="H309" s="46">
        <v>1</v>
      </c>
      <c r="I309" s="46">
        <f t="shared" si="41"/>
        <v>6.0000000000000001E-3</v>
      </c>
      <c r="J309" s="46" t="s">
        <v>31</v>
      </c>
      <c r="K309" s="46" t="s">
        <v>31</v>
      </c>
      <c r="L309" s="46" t="s">
        <v>31</v>
      </c>
      <c r="M309" s="46" t="s">
        <v>31</v>
      </c>
      <c r="N309" s="46"/>
      <c r="O309" s="46"/>
      <c r="P309" s="46"/>
      <c r="Q309" s="46"/>
      <c r="R309" s="46"/>
      <c r="S309" s="46"/>
      <c r="T309" s="46"/>
      <c r="U309" s="46"/>
    </row>
    <row r="310" spans="1:21">
      <c r="A310" s="338" t="s">
        <v>75</v>
      </c>
      <c r="B310" s="342">
        <f>P310</f>
        <v>7.8E-2</v>
      </c>
      <c r="C310" s="46" t="s">
        <v>39</v>
      </c>
      <c r="D310" s="46" t="s">
        <v>40</v>
      </c>
      <c r="E310" s="46" t="s">
        <v>29</v>
      </c>
      <c r="F310" s="32" t="s">
        <v>35</v>
      </c>
      <c r="G310" s="46" t="s">
        <v>33</v>
      </c>
      <c r="H310" s="46">
        <v>2</v>
      </c>
      <c r="I310" s="46">
        <f t="shared" ref="I310" si="42">LN(B310)</f>
        <v>-2.5510464522925451</v>
      </c>
      <c r="J310" s="46">
        <v>0.22500000000000006</v>
      </c>
      <c r="K310" s="46" t="s">
        <v>31</v>
      </c>
      <c r="L310" s="46" t="s">
        <v>31</v>
      </c>
      <c r="M310" s="46" t="s">
        <v>31</v>
      </c>
      <c r="N310" s="46"/>
      <c r="O310" s="393" t="s">
        <v>216</v>
      </c>
      <c r="P310" s="406">
        <v>7.8E-2</v>
      </c>
      <c r="Q310" s="46"/>
      <c r="R310" s="46"/>
      <c r="S310" s="46"/>
      <c r="T310" s="46"/>
      <c r="U310" s="46"/>
    </row>
    <row r="311" spans="1:21">
      <c r="A311" s="32" t="s">
        <v>683</v>
      </c>
      <c r="B311" s="407">
        <f>P311</f>
        <v>3.5999999999999999E-3</v>
      </c>
      <c r="C311" s="46" t="s">
        <v>37</v>
      </c>
      <c r="D311" s="46" t="s">
        <v>40</v>
      </c>
      <c r="E311" s="46" t="s">
        <v>29</v>
      </c>
      <c r="F311" s="46" t="s">
        <v>35</v>
      </c>
      <c r="G311" s="46" t="s">
        <v>33</v>
      </c>
      <c r="H311" s="46">
        <v>2</v>
      </c>
      <c r="I311" s="46">
        <f>LN(B311)</f>
        <v>-5.6268214335200728</v>
      </c>
      <c r="J311" s="46">
        <v>0.22500000000000006</v>
      </c>
      <c r="K311" s="46" t="s">
        <v>31</v>
      </c>
      <c r="L311" s="46" t="s">
        <v>31</v>
      </c>
      <c r="M311" s="46" t="s">
        <v>31</v>
      </c>
      <c r="N311" s="46"/>
      <c r="O311" s="393" t="s">
        <v>221</v>
      </c>
      <c r="P311" s="444">
        <v>3.5999999999999999E-3</v>
      </c>
      <c r="Q311" s="46"/>
      <c r="R311" s="46"/>
      <c r="S311" s="46"/>
      <c r="T311" s="46"/>
      <c r="U311" s="46"/>
    </row>
    <row r="312" spans="1:21">
      <c r="A312" s="46" t="s">
        <v>952</v>
      </c>
      <c r="B312" s="407">
        <f>P312</f>
        <v>7.7999999999999996E-3</v>
      </c>
      <c r="C312" s="46" t="s">
        <v>37</v>
      </c>
      <c r="D312" s="46" t="s">
        <v>40</v>
      </c>
      <c r="E312" s="46" t="s">
        <v>29</v>
      </c>
      <c r="F312" s="46" t="s">
        <v>58</v>
      </c>
      <c r="G312" s="46" t="s">
        <v>33</v>
      </c>
      <c r="H312" s="46">
        <v>2</v>
      </c>
      <c r="I312" s="46">
        <f t="shared" ref="I312:I318" si="43">LN(B312)</f>
        <v>-4.853631545286591</v>
      </c>
      <c r="J312" s="46">
        <v>0.22500000000000006</v>
      </c>
      <c r="K312" s="46" t="s">
        <v>31</v>
      </c>
      <c r="L312" s="46" t="s">
        <v>31</v>
      </c>
      <c r="M312" s="46" t="s">
        <v>31</v>
      </c>
      <c r="N312" s="46"/>
      <c r="O312" s="393" t="s">
        <v>221</v>
      </c>
      <c r="P312" s="444">
        <v>7.7999999999999996E-3</v>
      </c>
      <c r="Q312" s="46"/>
      <c r="R312" s="46"/>
      <c r="S312" s="46"/>
      <c r="T312" s="46"/>
      <c r="U312" s="46"/>
    </row>
    <row r="313" spans="1:21">
      <c r="A313" s="32" t="s">
        <v>530</v>
      </c>
      <c r="B313" s="407">
        <f t="shared" ref="B313:B318" si="44">P313</f>
        <v>3.5999999999999999E-3</v>
      </c>
      <c r="C313" s="46" t="s">
        <v>37</v>
      </c>
      <c r="D313" s="46" t="s">
        <v>40</v>
      </c>
      <c r="E313" s="46" t="s">
        <v>29</v>
      </c>
      <c r="F313" s="46" t="s">
        <v>35</v>
      </c>
      <c r="G313" s="46" t="s">
        <v>33</v>
      </c>
      <c r="H313" s="46">
        <v>2</v>
      </c>
      <c r="I313" s="46">
        <f t="shared" si="43"/>
        <v>-5.6268214335200728</v>
      </c>
      <c r="J313" s="46">
        <v>0.22500000000000006</v>
      </c>
      <c r="K313" s="46" t="s">
        <v>31</v>
      </c>
      <c r="L313" s="46" t="s">
        <v>31</v>
      </c>
      <c r="M313" s="46" t="s">
        <v>31</v>
      </c>
      <c r="N313" s="46"/>
      <c r="O313" s="393" t="s">
        <v>221</v>
      </c>
      <c r="P313" s="444">
        <v>3.5999999999999999E-3</v>
      </c>
      <c r="Q313" s="46"/>
      <c r="R313" s="46"/>
      <c r="S313" s="46"/>
      <c r="T313" s="46"/>
      <c r="U313" s="46"/>
    </row>
    <row r="314" spans="1:21">
      <c r="A314" s="32" t="s">
        <v>953</v>
      </c>
      <c r="B314" s="407">
        <f t="shared" si="44"/>
        <v>2.7000000000000001E-3</v>
      </c>
      <c r="C314" s="46" t="s">
        <v>37</v>
      </c>
      <c r="D314" s="46" t="s">
        <v>40</v>
      </c>
      <c r="E314" s="46" t="s">
        <v>29</v>
      </c>
      <c r="F314" s="46" t="s">
        <v>58</v>
      </c>
      <c r="G314" s="46" t="s">
        <v>33</v>
      </c>
      <c r="H314" s="46">
        <v>2</v>
      </c>
      <c r="I314" s="46">
        <f t="shared" si="43"/>
        <v>-5.9145035059718536</v>
      </c>
      <c r="J314" s="46">
        <v>0.22500000000000006</v>
      </c>
      <c r="K314" s="46" t="s">
        <v>31</v>
      </c>
      <c r="L314" s="46" t="s">
        <v>31</v>
      </c>
      <c r="M314" s="46" t="s">
        <v>31</v>
      </c>
      <c r="N314" s="46"/>
      <c r="O314" s="393" t="s">
        <v>221</v>
      </c>
      <c r="P314" s="444">
        <v>2.7000000000000001E-3</v>
      </c>
      <c r="Q314" s="46"/>
      <c r="R314" s="46"/>
      <c r="S314" s="46"/>
      <c r="T314" s="46"/>
      <c r="U314" s="46"/>
    </row>
    <row r="315" spans="1:21">
      <c r="A315" s="32" t="s">
        <v>954</v>
      </c>
      <c r="B315" s="407">
        <f t="shared" si="44"/>
        <v>7.7999999999999996E-3</v>
      </c>
      <c r="C315" s="46" t="s">
        <v>37</v>
      </c>
      <c r="D315" s="46" t="s">
        <v>40</v>
      </c>
      <c r="E315" s="46" t="s">
        <v>29</v>
      </c>
      <c r="F315" s="46" t="s">
        <v>58</v>
      </c>
      <c r="G315" s="46" t="s">
        <v>33</v>
      </c>
      <c r="H315" s="46">
        <v>2</v>
      </c>
      <c r="I315" s="46">
        <f t="shared" si="43"/>
        <v>-4.853631545286591</v>
      </c>
      <c r="J315" s="46">
        <v>0.22500000000000006</v>
      </c>
      <c r="K315" s="46" t="s">
        <v>31</v>
      </c>
      <c r="L315" s="46" t="s">
        <v>31</v>
      </c>
      <c r="M315" s="46" t="s">
        <v>31</v>
      </c>
      <c r="N315" s="46"/>
      <c r="O315" s="393" t="s">
        <v>221</v>
      </c>
      <c r="P315" s="444">
        <v>7.7999999999999996E-3</v>
      </c>
      <c r="Q315" s="46"/>
      <c r="R315" s="46"/>
      <c r="S315" s="46"/>
      <c r="T315" s="46"/>
      <c r="U315" s="46"/>
    </row>
    <row r="316" spans="1:21">
      <c r="A316" s="338" t="s">
        <v>792</v>
      </c>
      <c r="B316" s="407">
        <f t="shared" si="44"/>
        <v>0.14299999999999999</v>
      </c>
      <c r="C316" s="46" t="s">
        <v>37</v>
      </c>
      <c r="D316" s="46" t="s">
        <v>40</v>
      </c>
      <c r="E316" s="46" t="s">
        <v>29</v>
      </c>
      <c r="F316" s="32" t="s">
        <v>741</v>
      </c>
      <c r="G316" s="46" t="s">
        <v>33</v>
      </c>
      <c r="H316" s="46">
        <v>2</v>
      </c>
      <c r="I316" s="46">
        <f t="shared" si="43"/>
        <v>-1.9449106487222299</v>
      </c>
      <c r="J316" s="46">
        <v>0.22500000000000006</v>
      </c>
      <c r="K316" s="46" t="s">
        <v>31</v>
      </c>
      <c r="L316" s="46" t="s">
        <v>31</v>
      </c>
      <c r="M316" s="46" t="s">
        <v>31</v>
      </c>
      <c r="N316" s="46"/>
      <c r="O316" s="393" t="s">
        <v>221</v>
      </c>
      <c r="P316" s="444">
        <v>0.14299999999999999</v>
      </c>
      <c r="Q316" s="46"/>
      <c r="R316" s="46"/>
      <c r="S316" s="46"/>
      <c r="T316" s="46"/>
      <c r="U316" s="46"/>
    </row>
    <row r="317" spans="1:21">
      <c r="A317" s="32" t="s">
        <v>760</v>
      </c>
      <c r="B317" s="407">
        <f t="shared" si="44"/>
        <v>1.4E-3</v>
      </c>
      <c r="C317" s="46" t="s">
        <v>37</v>
      </c>
      <c r="D317" s="46" t="s">
        <v>43</v>
      </c>
      <c r="E317" s="46" t="s">
        <v>44</v>
      </c>
      <c r="F317" s="46" t="s">
        <v>29</v>
      </c>
      <c r="G317" s="46" t="s">
        <v>45</v>
      </c>
      <c r="H317" s="46">
        <v>2</v>
      </c>
      <c r="I317" s="46">
        <f t="shared" si="43"/>
        <v>-6.5712830423609239</v>
      </c>
      <c r="J317" s="46">
        <v>0.22500000000000006</v>
      </c>
      <c r="K317" s="46" t="s">
        <v>31</v>
      </c>
      <c r="L317" s="46" t="s">
        <v>31</v>
      </c>
      <c r="M317" s="46" t="s">
        <v>31</v>
      </c>
      <c r="N317" s="46"/>
      <c r="O317" s="408" t="s">
        <v>221</v>
      </c>
      <c r="P317" s="409">
        <v>1.4E-3</v>
      </c>
      <c r="Q317" s="46"/>
      <c r="R317" s="46"/>
      <c r="S317" s="46"/>
      <c r="T317" s="46"/>
      <c r="U317" s="46"/>
    </row>
    <row r="318" spans="1:21">
      <c r="A318" s="46" t="s">
        <v>777</v>
      </c>
      <c r="B318" s="407">
        <f t="shared" si="44"/>
        <v>2.5999999999999999E-2</v>
      </c>
      <c r="C318" s="46" t="s">
        <v>37</v>
      </c>
      <c r="D318" s="400" t="s">
        <v>2</v>
      </c>
      <c r="E318" s="46" t="s">
        <v>29</v>
      </c>
      <c r="F318" s="32" t="s">
        <v>741</v>
      </c>
      <c r="G318" s="46" t="s">
        <v>33</v>
      </c>
      <c r="H318" s="46">
        <v>2</v>
      </c>
      <c r="I318" s="46">
        <f t="shared" si="43"/>
        <v>-3.6496587409606551</v>
      </c>
      <c r="J318" s="46">
        <v>0.22500000000000006</v>
      </c>
      <c r="K318" s="46" t="s">
        <v>31</v>
      </c>
      <c r="L318" s="46" t="s">
        <v>31</v>
      </c>
      <c r="M318" s="46" t="s">
        <v>31</v>
      </c>
      <c r="N318" s="46"/>
      <c r="O318" s="410" t="s">
        <v>221</v>
      </c>
      <c r="P318" s="445">
        <v>2.5999999999999999E-2</v>
      </c>
      <c r="Q318" s="46"/>
      <c r="R318" s="46"/>
      <c r="S318" s="46"/>
      <c r="T318" s="46"/>
      <c r="U318" s="46"/>
    </row>
    <row r="319" spans="1:21" s="41" customFormat="1">
      <c r="A319" s="362" t="s">
        <v>5</v>
      </c>
      <c r="B319" s="363" t="s">
        <v>951</v>
      </c>
      <c r="C319" s="345"/>
      <c r="D319" s="345"/>
      <c r="E319" s="345"/>
      <c r="F319" s="345"/>
      <c r="G319" s="345"/>
      <c r="H319" s="345"/>
      <c r="I319" s="345"/>
      <c r="J319" s="345"/>
      <c r="K319" s="345"/>
      <c r="L319" s="345"/>
      <c r="M319" s="345"/>
      <c r="N319" s="345"/>
      <c r="O319" s="345"/>
      <c r="P319" s="345"/>
      <c r="Q319" s="345"/>
      <c r="R319" s="345"/>
      <c r="S319" s="345"/>
      <c r="T319" s="345"/>
      <c r="U319" s="345"/>
    </row>
    <row r="320" spans="1:21">
      <c r="A320" s="338" t="s">
        <v>7</v>
      </c>
      <c r="B320" s="46" t="s">
        <v>779</v>
      </c>
      <c r="C320" s="337"/>
      <c r="D320" s="46"/>
      <c r="E320" s="46"/>
      <c r="F320" s="46"/>
      <c r="G320" s="46"/>
      <c r="H320" s="46"/>
      <c r="I320" s="46"/>
      <c r="J320" s="46"/>
      <c r="K320" s="46"/>
      <c r="L320" s="46"/>
      <c r="M320" s="46"/>
      <c r="N320" s="46"/>
      <c r="O320" s="46"/>
      <c r="P320" s="46"/>
      <c r="Q320" s="46"/>
      <c r="R320" s="46"/>
      <c r="S320" s="46"/>
      <c r="T320" s="46"/>
      <c r="U320" s="46"/>
    </row>
    <row r="321" spans="1:21">
      <c r="A321" s="416" t="s">
        <v>9</v>
      </c>
      <c r="B321" s="46" t="s">
        <v>955</v>
      </c>
      <c r="C321" s="337"/>
      <c r="D321" s="46"/>
      <c r="E321" s="46"/>
      <c r="F321" s="46"/>
      <c r="G321" s="46"/>
      <c r="H321" s="46"/>
      <c r="I321" s="46"/>
      <c r="J321" s="46"/>
      <c r="K321" s="46"/>
      <c r="L321" s="46"/>
      <c r="M321" s="46"/>
      <c r="N321" s="46"/>
      <c r="O321" s="46"/>
      <c r="P321" s="46"/>
      <c r="Q321" s="46"/>
      <c r="R321" s="46"/>
      <c r="S321" s="46"/>
      <c r="T321" s="46"/>
      <c r="U321" s="46"/>
    </row>
    <row r="322" spans="1:21" ht="15.75" customHeight="1">
      <c r="A322" s="338" t="s">
        <v>11</v>
      </c>
      <c r="B322" s="339" t="s">
        <v>789</v>
      </c>
      <c r="C322" s="46"/>
      <c r="D322" s="46"/>
      <c r="E322" s="46"/>
      <c r="F322" s="46"/>
      <c r="G322" s="46"/>
      <c r="H322" s="46"/>
      <c r="I322" s="46"/>
      <c r="J322" s="46"/>
      <c r="K322" s="46"/>
      <c r="L322" s="46"/>
      <c r="M322" s="46"/>
      <c r="N322" s="46"/>
      <c r="O322" s="46"/>
      <c r="P322" s="46"/>
      <c r="Q322" s="46"/>
      <c r="R322" s="46"/>
      <c r="S322" s="46"/>
      <c r="T322" s="46"/>
      <c r="U322" s="46"/>
    </row>
    <row r="323" spans="1:21">
      <c r="A323" s="338" t="s">
        <v>13</v>
      </c>
      <c r="B323" s="46" t="s">
        <v>14</v>
      </c>
      <c r="C323" s="46"/>
      <c r="D323" s="46"/>
      <c r="E323" s="46"/>
      <c r="F323" s="46"/>
      <c r="G323" s="46"/>
      <c r="H323" s="46"/>
      <c r="I323" s="46"/>
      <c r="J323" s="46"/>
      <c r="K323" s="46"/>
      <c r="L323" s="46"/>
      <c r="M323" s="46"/>
      <c r="N323" s="46"/>
      <c r="O323" s="46"/>
      <c r="P323" s="46"/>
      <c r="Q323" s="46"/>
      <c r="R323" s="46"/>
      <c r="S323" s="46"/>
      <c r="T323" s="46"/>
      <c r="U323" s="46"/>
    </row>
    <row r="324" spans="1:21">
      <c r="A324" s="338" t="s">
        <v>15</v>
      </c>
      <c r="B324" s="407">
        <f>B329</f>
        <v>6.0000000000000001E-3</v>
      </c>
      <c r="C324" s="46"/>
      <c r="D324" s="46"/>
      <c r="E324" s="46"/>
      <c r="F324" s="46"/>
      <c r="G324" s="46"/>
      <c r="H324" s="46"/>
      <c r="I324" s="46"/>
      <c r="J324" s="46"/>
      <c r="K324" s="46"/>
      <c r="L324" s="46"/>
      <c r="M324" s="46"/>
      <c r="N324" s="46"/>
      <c r="O324" s="46"/>
      <c r="P324" s="46"/>
      <c r="Q324" s="46"/>
      <c r="R324" s="46"/>
      <c r="S324" s="46"/>
      <c r="T324" s="46"/>
      <c r="U324" s="46"/>
    </row>
    <row r="325" spans="1:21">
      <c r="A325" s="338" t="s">
        <v>16</v>
      </c>
      <c r="B325" s="46" t="s">
        <v>17</v>
      </c>
      <c r="C325" s="46"/>
      <c r="D325" s="46"/>
      <c r="E325" s="46"/>
      <c r="F325" s="46"/>
      <c r="G325" s="46"/>
      <c r="H325" s="46"/>
      <c r="I325" s="46"/>
      <c r="J325" s="46"/>
      <c r="K325" s="46"/>
      <c r="L325" s="46"/>
      <c r="M325" s="46"/>
      <c r="N325" s="46"/>
      <c r="O325" s="46"/>
      <c r="P325" s="46"/>
      <c r="Q325" s="46"/>
      <c r="R325" s="46"/>
      <c r="S325" s="46"/>
      <c r="T325" s="46"/>
      <c r="U325" s="46"/>
    </row>
    <row r="326" spans="1:21">
      <c r="A326" s="338" t="s">
        <v>18</v>
      </c>
      <c r="B326" s="46" t="s">
        <v>113</v>
      </c>
      <c r="C326" s="46"/>
      <c r="D326" s="46"/>
      <c r="E326" s="46"/>
      <c r="F326" s="46"/>
      <c r="G326" s="46"/>
      <c r="H326" s="46"/>
      <c r="I326" s="46"/>
      <c r="J326" s="46"/>
      <c r="K326" s="46"/>
      <c r="L326" s="46"/>
      <c r="M326" s="46"/>
      <c r="N326" s="46"/>
      <c r="O326" s="46"/>
      <c r="P326" s="46"/>
      <c r="Q326" s="46"/>
      <c r="R326" s="46"/>
      <c r="S326" s="46"/>
      <c r="T326" s="46"/>
      <c r="U326" s="46"/>
    </row>
    <row r="327" spans="1:21">
      <c r="A327" s="335" t="s">
        <v>19</v>
      </c>
      <c r="B327" s="46"/>
      <c r="C327" s="46"/>
      <c r="D327" s="46"/>
      <c r="E327" s="46"/>
      <c r="F327" s="46"/>
      <c r="G327" s="46"/>
      <c r="H327" s="46"/>
      <c r="I327" s="46"/>
      <c r="J327" s="46"/>
      <c r="K327" s="46"/>
      <c r="L327" s="46"/>
      <c r="M327" s="46"/>
      <c r="N327" s="46"/>
      <c r="O327" s="46"/>
      <c r="P327" s="46"/>
      <c r="Q327" s="46"/>
      <c r="R327" s="46"/>
      <c r="S327" s="46"/>
      <c r="T327" s="46"/>
      <c r="U327" s="46"/>
    </row>
    <row r="328" spans="1:21">
      <c r="A328" s="336" t="s">
        <v>20</v>
      </c>
      <c r="B328" s="336" t="s">
        <v>21</v>
      </c>
      <c r="C328" s="336" t="s">
        <v>18</v>
      </c>
      <c r="D328" s="336" t="s">
        <v>22</v>
      </c>
      <c r="E328" s="336" t="s">
        <v>7</v>
      </c>
      <c r="F328" s="336" t="s">
        <v>13</v>
      </c>
      <c r="G328" s="336" t="s">
        <v>16</v>
      </c>
      <c r="H328" s="336" t="s">
        <v>23</v>
      </c>
      <c r="I328" s="336" t="s">
        <v>24</v>
      </c>
      <c r="J328" s="336" t="s">
        <v>25</v>
      </c>
      <c r="K328" s="336" t="s">
        <v>26</v>
      </c>
      <c r="L328" s="336" t="s">
        <v>27</v>
      </c>
      <c r="M328" s="336" t="s">
        <v>28</v>
      </c>
      <c r="N328" s="336" t="s">
        <v>11</v>
      </c>
      <c r="O328" s="46"/>
      <c r="P328" s="46"/>
      <c r="Q328" s="46"/>
      <c r="R328" s="46"/>
      <c r="S328" s="46"/>
      <c r="T328" s="407"/>
      <c r="U328" s="46"/>
    </row>
    <row r="329" spans="1:21">
      <c r="A329" s="46" t="s">
        <v>951</v>
      </c>
      <c r="B329" s="407">
        <f>B330</f>
        <v>6.0000000000000001E-3</v>
      </c>
      <c r="C329" s="46" t="s">
        <v>113</v>
      </c>
      <c r="D329" s="400" t="s">
        <v>2</v>
      </c>
      <c r="E329" s="46" t="s">
        <v>29</v>
      </c>
      <c r="F329" s="46" t="s">
        <v>14</v>
      </c>
      <c r="G329" s="46" t="s">
        <v>30</v>
      </c>
      <c r="H329" s="46">
        <v>1</v>
      </c>
      <c r="I329" s="46">
        <f t="shared" ref="I329:I331" si="45">B329</f>
        <v>6.0000000000000001E-3</v>
      </c>
      <c r="J329" s="46" t="s">
        <v>31</v>
      </c>
      <c r="K329" s="46" t="s">
        <v>31</v>
      </c>
      <c r="L329" s="46" t="s">
        <v>31</v>
      </c>
      <c r="M329" s="46" t="s">
        <v>31</v>
      </c>
      <c r="N329" s="46"/>
      <c r="O329" s="46"/>
      <c r="P329" s="46"/>
      <c r="Q329" s="46"/>
      <c r="R329" s="46"/>
      <c r="S329" s="46"/>
      <c r="T329" s="46"/>
      <c r="U329" s="46"/>
    </row>
    <row r="330" spans="1:21">
      <c r="A330" s="62" t="s">
        <v>956</v>
      </c>
      <c r="B330" s="407">
        <f>P330</f>
        <v>6.0000000000000001E-3</v>
      </c>
      <c r="C330" s="46" t="s">
        <v>113</v>
      </c>
      <c r="D330" s="400" t="s">
        <v>2</v>
      </c>
      <c r="E330" s="46" t="s">
        <v>29</v>
      </c>
      <c r="F330" s="46" t="s">
        <v>14</v>
      </c>
      <c r="G330" s="46" t="s">
        <v>33</v>
      </c>
      <c r="H330" s="46">
        <v>1</v>
      </c>
      <c r="I330" s="46">
        <f t="shared" si="45"/>
        <v>6.0000000000000001E-3</v>
      </c>
      <c r="J330" s="46">
        <v>2.8722813232690055E-2</v>
      </c>
      <c r="K330" s="46" t="s">
        <v>31</v>
      </c>
      <c r="L330" s="46" t="s">
        <v>31</v>
      </c>
      <c r="M330" s="46" t="s">
        <v>31</v>
      </c>
      <c r="N330" s="46"/>
      <c r="O330" s="388" t="s">
        <v>817</v>
      </c>
      <c r="P330" s="446">
        <v>6.0000000000000001E-3</v>
      </c>
      <c r="Q330" s="46"/>
      <c r="R330" s="46"/>
      <c r="S330" s="46"/>
      <c r="T330" s="46"/>
      <c r="U330" s="46"/>
    </row>
    <row r="331" spans="1:21">
      <c r="A331" s="62" t="s">
        <v>872</v>
      </c>
      <c r="B331" s="46">
        <f>R331</f>
        <v>6.2E-2</v>
      </c>
      <c r="C331" s="46" t="s">
        <v>221</v>
      </c>
      <c r="D331" s="400" t="s">
        <v>2</v>
      </c>
      <c r="E331" s="46" t="s">
        <v>29</v>
      </c>
      <c r="F331" s="46" t="s">
        <v>14</v>
      </c>
      <c r="G331" s="46" t="s">
        <v>33</v>
      </c>
      <c r="H331" s="46">
        <v>1</v>
      </c>
      <c r="I331" s="46">
        <f t="shared" si="45"/>
        <v>6.2E-2</v>
      </c>
      <c r="J331" s="46">
        <v>2.8722813232690055E-2</v>
      </c>
      <c r="K331" s="46" t="s">
        <v>31</v>
      </c>
      <c r="L331" s="46" t="s">
        <v>31</v>
      </c>
      <c r="M331" s="46" t="s">
        <v>31</v>
      </c>
      <c r="N331" s="46"/>
      <c r="O331" s="388" t="s">
        <v>575</v>
      </c>
      <c r="P331" s="447">
        <v>62</v>
      </c>
      <c r="Q331" s="46" t="s">
        <v>221</v>
      </c>
      <c r="R331" s="46">
        <f>P331*0.001</f>
        <v>6.2E-2</v>
      </c>
      <c r="S331" s="46"/>
      <c r="T331" s="46"/>
      <c r="U331" s="46"/>
    </row>
    <row r="332" spans="1:21">
      <c r="A332" s="338" t="s">
        <v>75</v>
      </c>
      <c r="B332" s="342">
        <f t="shared" ref="B332:B334" si="46">P332</f>
        <v>6.0000000000000001E-3</v>
      </c>
      <c r="C332" s="46" t="s">
        <v>39</v>
      </c>
      <c r="D332" s="46" t="s">
        <v>40</v>
      </c>
      <c r="E332" s="46" t="s">
        <v>29</v>
      </c>
      <c r="F332" s="32" t="s">
        <v>35</v>
      </c>
      <c r="G332" s="46" t="s">
        <v>33</v>
      </c>
      <c r="H332" s="46">
        <v>2</v>
      </c>
      <c r="I332" s="46">
        <f t="shared" ref="I332:I334" si="47">LN(B332)</f>
        <v>-5.1159958097540823</v>
      </c>
      <c r="J332" s="46">
        <v>0.20928449536456342</v>
      </c>
      <c r="K332" s="46" t="s">
        <v>31</v>
      </c>
      <c r="L332" s="46" t="s">
        <v>31</v>
      </c>
      <c r="M332" s="46" t="s">
        <v>31</v>
      </c>
      <c r="N332" s="46"/>
      <c r="O332" s="393" t="s">
        <v>216</v>
      </c>
      <c r="P332" s="175">
        <v>6.0000000000000001E-3</v>
      </c>
      <c r="Q332" s="46"/>
      <c r="R332" s="46"/>
      <c r="S332" s="46"/>
      <c r="T332" s="46"/>
      <c r="U332" s="46"/>
    </row>
    <row r="333" spans="1:21">
      <c r="A333" s="338" t="s">
        <v>75</v>
      </c>
      <c r="B333" s="342">
        <f t="shared" si="46"/>
        <v>0.35</v>
      </c>
      <c r="C333" s="46" t="s">
        <v>39</v>
      </c>
      <c r="D333" s="46" t="s">
        <v>40</v>
      </c>
      <c r="E333" s="46" t="s">
        <v>29</v>
      </c>
      <c r="F333" s="32" t="s">
        <v>35</v>
      </c>
      <c r="G333" s="46" t="s">
        <v>33</v>
      </c>
      <c r="H333" s="46">
        <v>2</v>
      </c>
      <c r="I333" s="46">
        <f t="shared" si="47"/>
        <v>-1.0498221244986778</v>
      </c>
      <c r="J333" s="46">
        <v>0.20928449536456342</v>
      </c>
      <c r="K333" s="46" t="s">
        <v>31</v>
      </c>
      <c r="L333" s="46" t="s">
        <v>31</v>
      </c>
      <c r="M333" s="46" t="s">
        <v>31</v>
      </c>
      <c r="N333" s="46"/>
      <c r="O333" s="393" t="s">
        <v>216</v>
      </c>
      <c r="P333" s="120">
        <v>0.35</v>
      </c>
      <c r="Q333" s="46"/>
      <c r="R333" s="46"/>
      <c r="S333" s="46"/>
      <c r="T333" s="46"/>
      <c r="U333" s="46"/>
    </row>
    <row r="334" spans="1:21">
      <c r="A334" s="338" t="s">
        <v>75</v>
      </c>
      <c r="B334" s="342">
        <f t="shared" si="46"/>
        <v>0.09</v>
      </c>
      <c r="C334" s="46" t="s">
        <v>39</v>
      </c>
      <c r="D334" s="46" t="s">
        <v>40</v>
      </c>
      <c r="E334" s="46" t="s">
        <v>29</v>
      </c>
      <c r="F334" s="32" t="s">
        <v>35</v>
      </c>
      <c r="G334" s="46" t="s">
        <v>33</v>
      </c>
      <c r="H334" s="46">
        <v>2</v>
      </c>
      <c r="I334" s="46">
        <f t="shared" si="47"/>
        <v>-2.4079456086518722</v>
      </c>
      <c r="J334" s="46">
        <v>9.6436507609929598E-2</v>
      </c>
      <c r="K334" s="46" t="s">
        <v>31</v>
      </c>
      <c r="L334" s="46" t="s">
        <v>31</v>
      </c>
      <c r="M334" s="46" t="s">
        <v>31</v>
      </c>
      <c r="N334" s="46"/>
      <c r="O334" s="393" t="s">
        <v>216</v>
      </c>
      <c r="P334" s="120">
        <v>0.09</v>
      </c>
      <c r="Q334" s="46"/>
      <c r="R334" s="46"/>
      <c r="S334" s="46"/>
      <c r="T334" s="46"/>
      <c r="U334" s="46"/>
    </row>
    <row r="335" spans="1:21">
      <c r="A335" s="32" t="s">
        <v>683</v>
      </c>
      <c r="B335" s="407">
        <f>R335</f>
        <v>5.0000000000000001E-4</v>
      </c>
      <c r="C335" s="46" t="s">
        <v>37</v>
      </c>
      <c r="D335" s="46" t="s">
        <v>40</v>
      </c>
      <c r="E335" s="46" t="s">
        <v>29</v>
      </c>
      <c r="F335" s="46" t="s">
        <v>35</v>
      </c>
      <c r="G335" s="46" t="s">
        <v>33</v>
      </c>
      <c r="H335" s="46">
        <v>2</v>
      </c>
      <c r="I335" s="46">
        <f>LN(B335)</f>
        <v>-7.6009024595420822</v>
      </c>
      <c r="J335" s="46">
        <v>0.20928449536456342</v>
      </c>
      <c r="K335" s="46" t="s">
        <v>31</v>
      </c>
      <c r="L335" s="46" t="s">
        <v>31</v>
      </c>
      <c r="M335" s="46" t="s">
        <v>31</v>
      </c>
      <c r="N335" s="46"/>
      <c r="O335" s="393" t="s">
        <v>575</v>
      </c>
      <c r="P335" s="120">
        <v>0.5</v>
      </c>
      <c r="Q335" s="46" t="s">
        <v>221</v>
      </c>
      <c r="R335" s="46">
        <f>P335*0.001</f>
        <v>5.0000000000000001E-4</v>
      </c>
      <c r="S335" s="46"/>
      <c r="T335" s="46"/>
      <c r="U335" s="46"/>
    </row>
    <row r="336" spans="1:21">
      <c r="A336" s="338" t="s">
        <v>792</v>
      </c>
      <c r="B336" s="407">
        <f t="shared" ref="B336" si="48">P336</f>
        <v>5.0000000000000001E-3</v>
      </c>
      <c r="C336" s="46" t="s">
        <v>37</v>
      </c>
      <c r="D336" s="46" t="s">
        <v>40</v>
      </c>
      <c r="E336" s="46" t="s">
        <v>29</v>
      </c>
      <c r="F336" s="32" t="s">
        <v>741</v>
      </c>
      <c r="G336" s="46" t="s">
        <v>33</v>
      </c>
      <c r="H336" s="46">
        <v>2</v>
      </c>
      <c r="I336" s="46">
        <f>LN(B336)</f>
        <v>-5.2983173665480363</v>
      </c>
      <c r="J336" s="46">
        <v>0.20928449536456342</v>
      </c>
      <c r="K336" s="46" t="s">
        <v>31</v>
      </c>
      <c r="L336" s="46" t="s">
        <v>31</v>
      </c>
      <c r="M336" s="46" t="s">
        <v>31</v>
      </c>
      <c r="N336" s="46"/>
      <c r="O336" s="393" t="s">
        <v>221</v>
      </c>
      <c r="P336" s="175">
        <v>5.0000000000000001E-3</v>
      </c>
      <c r="Q336" s="46"/>
      <c r="R336" s="46"/>
      <c r="S336" s="46"/>
      <c r="T336" s="46"/>
      <c r="U336" s="46"/>
    </row>
    <row r="337" spans="1:21">
      <c r="A337" s="32" t="s">
        <v>542</v>
      </c>
      <c r="B337" s="433">
        <f>R337</f>
        <v>9.0000000000000008E-4</v>
      </c>
      <c r="C337" s="46" t="s">
        <v>37</v>
      </c>
      <c r="D337" s="46" t="s">
        <v>40</v>
      </c>
      <c r="E337" s="46" t="s">
        <v>29</v>
      </c>
      <c r="F337" s="32" t="s">
        <v>128</v>
      </c>
      <c r="G337" s="46" t="s">
        <v>33</v>
      </c>
      <c r="H337" s="46">
        <v>2</v>
      </c>
      <c r="I337" s="46">
        <f>LN(B337)</f>
        <v>-7.0131157946399636</v>
      </c>
      <c r="J337" s="46">
        <v>0.20928449536456342</v>
      </c>
      <c r="K337" s="46" t="s">
        <v>31</v>
      </c>
      <c r="L337" s="46" t="s">
        <v>31</v>
      </c>
      <c r="M337" s="46" t="s">
        <v>31</v>
      </c>
      <c r="N337" s="46"/>
      <c r="O337" s="393" t="s">
        <v>575</v>
      </c>
      <c r="P337" s="120">
        <v>0.9</v>
      </c>
      <c r="Q337" s="46" t="s">
        <v>221</v>
      </c>
      <c r="R337" s="46">
        <f>P337*0.001</f>
        <v>9.0000000000000008E-4</v>
      </c>
      <c r="S337" s="46"/>
      <c r="T337" s="46"/>
      <c r="U337" s="46"/>
    </row>
    <row r="338" spans="1:21">
      <c r="A338" s="32" t="s">
        <v>530</v>
      </c>
      <c r="B338" s="46">
        <f>R338</f>
        <v>2E-3</v>
      </c>
      <c r="C338" s="46" t="s">
        <v>37</v>
      </c>
      <c r="D338" s="46" t="s">
        <v>40</v>
      </c>
      <c r="E338" s="46" t="s">
        <v>29</v>
      </c>
      <c r="F338" s="46" t="s">
        <v>35</v>
      </c>
      <c r="G338" s="46" t="s">
        <v>33</v>
      </c>
      <c r="H338" s="46">
        <v>2</v>
      </c>
      <c r="I338" s="46">
        <f>LN(B338)</f>
        <v>-6.2146080984221914</v>
      </c>
      <c r="J338" s="46">
        <v>0.20928449536456342</v>
      </c>
      <c r="K338" s="46" t="s">
        <v>31</v>
      </c>
      <c r="L338" s="46" t="s">
        <v>31</v>
      </c>
      <c r="M338" s="46" t="s">
        <v>31</v>
      </c>
      <c r="N338" s="46"/>
      <c r="O338" s="393" t="s">
        <v>575</v>
      </c>
      <c r="P338" s="120">
        <v>2</v>
      </c>
      <c r="Q338" s="46" t="s">
        <v>221</v>
      </c>
      <c r="R338" s="46">
        <f>P338*0.001</f>
        <v>2E-3</v>
      </c>
      <c r="S338" s="46"/>
      <c r="T338" s="46"/>
      <c r="U338" s="46"/>
    </row>
    <row r="339" spans="1:21">
      <c r="A339" s="338" t="s">
        <v>480</v>
      </c>
      <c r="B339" s="46">
        <f>P339</f>
        <v>1</v>
      </c>
      <c r="C339" s="46" t="s">
        <v>37</v>
      </c>
      <c r="D339" s="46" t="s">
        <v>40</v>
      </c>
      <c r="E339" s="46" t="s">
        <v>29</v>
      </c>
      <c r="F339" s="32" t="s">
        <v>35</v>
      </c>
      <c r="G339" s="46" t="s">
        <v>33</v>
      </c>
      <c r="H339" s="46">
        <v>2</v>
      </c>
      <c r="I339" s="46">
        <f t="shared" ref="I339:I340" si="49">LN(B339)</f>
        <v>0</v>
      </c>
      <c r="J339" s="46">
        <v>0.20928449536456342</v>
      </c>
      <c r="K339" s="46" t="s">
        <v>31</v>
      </c>
      <c r="L339" s="46" t="s">
        <v>31</v>
      </c>
      <c r="M339" s="46" t="s">
        <v>31</v>
      </c>
      <c r="N339" s="46"/>
      <c r="O339" s="393" t="s">
        <v>221</v>
      </c>
      <c r="P339" s="120">
        <v>1</v>
      </c>
      <c r="Q339" s="46"/>
      <c r="R339" s="46"/>
      <c r="S339" s="46"/>
      <c r="T339" s="46"/>
      <c r="U339" s="46"/>
    </row>
    <row r="340" spans="1:21">
      <c r="A340" s="46" t="s">
        <v>777</v>
      </c>
      <c r="B340" s="407">
        <f t="shared" ref="B340" si="50">P340</f>
        <v>3.0000000000000001E-3</v>
      </c>
      <c r="C340" s="46" t="s">
        <v>37</v>
      </c>
      <c r="D340" s="400" t="s">
        <v>2</v>
      </c>
      <c r="E340" s="46" t="s">
        <v>29</v>
      </c>
      <c r="F340" s="32" t="s">
        <v>741</v>
      </c>
      <c r="G340" s="46" t="s">
        <v>33</v>
      </c>
      <c r="H340" s="46">
        <v>2</v>
      </c>
      <c r="I340" s="46">
        <f t="shared" si="49"/>
        <v>-5.8091429903140277</v>
      </c>
      <c r="J340" s="46">
        <v>0.20928449536456342</v>
      </c>
      <c r="K340" s="46" t="s">
        <v>31</v>
      </c>
      <c r="L340" s="46" t="s">
        <v>31</v>
      </c>
      <c r="M340" s="46" t="s">
        <v>31</v>
      </c>
      <c r="N340" s="46"/>
      <c r="O340" s="410" t="s">
        <v>221</v>
      </c>
      <c r="P340" s="196">
        <v>3.0000000000000001E-3</v>
      </c>
      <c r="Q340" s="46"/>
      <c r="R340" s="46"/>
      <c r="S340" s="46"/>
      <c r="T340" s="46"/>
      <c r="U340" s="46"/>
    </row>
    <row r="341" spans="1:21" s="41" customFormat="1">
      <c r="A341" s="362" t="s">
        <v>5</v>
      </c>
      <c r="B341" s="363" t="s">
        <v>956</v>
      </c>
      <c r="C341" s="345"/>
      <c r="D341" s="345"/>
      <c r="E341" s="345"/>
      <c r="F341" s="345"/>
      <c r="G341" s="345"/>
      <c r="H341" s="345"/>
      <c r="I341" s="345"/>
      <c r="J341" s="345"/>
      <c r="K341" s="345"/>
      <c r="L341" s="345"/>
      <c r="M341" s="345"/>
      <c r="N341" s="345"/>
      <c r="O341" s="345"/>
      <c r="P341" s="345"/>
      <c r="Q341" s="345"/>
      <c r="R341" s="345"/>
      <c r="S341" s="345"/>
      <c r="T341" s="345"/>
      <c r="U341" s="345"/>
    </row>
    <row r="342" spans="1:21">
      <c r="A342" s="338" t="s">
        <v>7</v>
      </c>
      <c r="B342" s="46" t="s">
        <v>779</v>
      </c>
      <c r="C342" s="337"/>
      <c r="D342" s="46"/>
      <c r="E342" s="46"/>
      <c r="F342" s="46"/>
      <c r="G342" s="46"/>
      <c r="H342" s="46"/>
      <c r="I342" s="46"/>
      <c r="J342" s="46"/>
      <c r="K342" s="46"/>
      <c r="L342" s="46"/>
      <c r="M342" s="46"/>
      <c r="N342" s="46"/>
      <c r="O342" s="46"/>
      <c r="P342" s="46"/>
      <c r="Q342" s="46"/>
      <c r="R342" s="46"/>
      <c r="S342" s="46"/>
      <c r="T342" s="46"/>
      <c r="U342" s="46"/>
    </row>
    <row r="343" spans="1:21">
      <c r="A343" s="416" t="s">
        <v>9</v>
      </c>
      <c r="B343" s="46" t="s">
        <v>957</v>
      </c>
      <c r="C343" s="337"/>
      <c r="D343" s="46"/>
      <c r="E343" s="46"/>
      <c r="F343" s="46"/>
      <c r="G343" s="46"/>
      <c r="H343" s="46"/>
      <c r="I343" s="46"/>
      <c r="J343" s="46"/>
      <c r="K343" s="46"/>
      <c r="L343" s="46"/>
      <c r="M343" s="46"/>
      <c r="N343" s="46"/>
      <c r="O343" s="46"/>
      <c r="P343" s="46"/>
      <c r="Q343" s="46"/>
      <c r="R343" s="46"/>
      <c r="S343" s="46"/>
      <c r="T343" s="46"/>
      <c r="U343" s="46"/>
    </row>
    <row r="344" spans="1:21" ht="15.75" customHeight="1">
      <c r="A344" s="338" t="s">
        <v>11</v>
      </c>
      <c r="B344" s="339" t="s">
        <v>789</v>
      </c>
      <c r="C344" s="46"/>
      <c r="D344" s="46"/>
      <c r="E344" s="46"/>
      <c r="F344" s="46"/>
      <c r="G344" s="46"/>
      <c r="H344" s="46"/>
      <c r="I344" s="46"/>
      <c r="J344" s="46"/>
      <c r="K344" s="46"/>
      <c r="L344" s="46"/>
      <c r="M344" s="46"/>
      <c r="N344" s="46"/>
      <c r="O344" s="46"/>
      <c r="P344" s="46"/>
      <c r="Q344" s="46"/>
      <c r="R344" s="46"/>
      <c r="S344" s="46"/>
      <c r="T344" s="46"/>
      <c r="U344" s="46"/>
    </row>
    <row r="345" spans="1:21">
      <c r="A345" s="338" t="s">
        <v>13</v>
      </c>
      <c r="B345" s="46" t="s">
        <v>14</v>
      </c>
      <c r="C345" s="46"/>
      <c r="D345" s="46"/>
      <c r="E345" s="46"/>
      <c r="F345" s="46"/>
      <c r="G345" s="46"/>
      <c r="H345" s="46"/>
      <c r="I345" s="46"/>
      <c r="J345" s="46"/>
      <c r="K345" s="46"/>
      <c r="L345" s="46"/>
      <c r="M345" s="46"/>
      <c r="N345" s="46"/>
      <c r="O345" s="46"/>
      <c r="P345" s="46"/>
      <c r="Q345" s="46"/>
      <c r="R345" s="46"/>
      <c r="S345" s="46"/>
      <c r="T345" s="46"/>
      <c r="U345" s="46"/>
    </row>
    <row r="346" spans="1:21">
      <c r="A346" s="338" t="s">
        <v>15</v>
      </c>
      <c r="B346" s="407">
        <f>B351</f>
        <v>6.0000000000000001E-3</v>
      </c>
      <c r="C346" s="46"/>
      <c r="D346" s="46"/>
      <c r="E346" s="46"/>
      <c r="F346" s="46"/>
      <c r="G346" s="46"/>
      <c r="H346" s="46"/>
      <c r="I346" s="46"/>
      <c r="J346" s="46"/>
      <c r="K346" s="46"/>
      <c r="L346" s="46"/>
      <c r="M346" s="46"/>
      <c r="N346" s="46"/>
      <c r="O346" s="46"/>
      <c r="P346" s="46"/>
      <c r="Q346" s="46"/>
      <c r="R346" s="46"/>
      <c r="S346" s="46"/>
      <c r="T346" s="46"/>
      <c r="U346" s="46"/>
    </row>
    <row r="347" spans="1:21">
      <c r="A347" s="338" t="s">
        <v>16</v>
      </c>
      <c r="B347" s="46" t="s">
        <v>17</v>
      </c>
      <c r="C347" s="46"/>
      <c r="D347" s="46"/>
      <c r="E347" s="46"/>
      <c r="F347" s="46"/>
      <c r="G347" s="46"/>
      <c r="H347" s="46"/>
      <c r="I347" s="46"/>
      <c r="J347" s="46"/>
      <c r="K347" s="46"/>
      <c r="L347" s="46"/>
      <c r="M347" s="46"/>
      <c r="N347" s="46"/>
      <c r="O347" s="46"/>
      <c r="P347" s="46"/>
      <c r="Q347" s="46"/>
      <c r="R347" s="46"/>
      <c r="S347" s="46"/>
      <c r="T347" s="46"/>
      <c r="U347" s="46"/>
    </row>
    <row r="348" spans="1:21">
      <c r="A348" s="338" t="s">
        <v>18</v>
      </c>
      <c r="B348" s="46" t="s">
        <v>113</v>
      </c>
      <c r="C348" s="46"/>
      <c r="D348" s="46"/>
      <c r="E348" s="46"/>
      <c r="F348" s="46"/>
      <c r="G348" s="46"/>
      <c r="H348" s="46"/>
      <c r="I348" s="46"/>
      <c r="J348" s="46"/>
      <c r="K348" s="46"/>
      <c r="L348" s="46"/>
      <c r="M348" s="46"/>
      <c r="N348" s="46"/>
      <c r="O348" s="46"/>
      <c r="P348" s="46"/>
      <c r="Q348" s="46"/>
      <c r="R348" s="46"/>
      <c r="S348" s="46"/>
      <c r="T348" s="46"/>
      <c r="U348" s="46"/>
    </row>
    <row r="349" spans="1:21">
      <c r="A349" s="335" t="s">
        <v>19</v>
      </c>
      <c r="B349" s="46"/>
      <c r="C349" s="46"/>
      <c r="D349" s="46"/>
      <c r="E349" s="46"/>
      <c r="F349" s="46"/>
      <c r="G349" s="46"/>
      <c r="H349" s="46"/>
      <c r="I349" s="46"/>
      <c r="J349" s="46"/>
      <c r="K349" s="46"/>
      <c r="L349" s="46"/>
      <c r="M349" s="46"/>
      <c r="N349" s="46"/>
      <c r="O349" s="46"/>
      <c r="P349" s="46"/>
      <c r="Q349" s="46"/>
      <c r="R349" s="46"/>
      <c r="S349" s="46"/>
      <c r="T349" s="46"/>
      <c r="U349" s="46"/>
    </row>
    <row r="350" spans="1:21">
      <c r="A350" s="336" t="s">
        <v>20</v>
      </c>
      <c r="B350" s="336" t="s">
        <v>21</v>
      </c>
      <c r="C350" s="336" t="s">
        <v>18</v>
      </c>
      <c r="D350" s="336" t="s">
        <v>22</v>
      </c>
      <c r="E350" s="336" t="s">
        <v>7</v>
      </c>
      <c r="F350" s="336" t="s">
        <v>13</v>
      </c>
      <c r="G350" s="336" t="s">
        <v>16</v>
      </c>
      <c r="H350" s="336" t="s">
        <v>23</v>
      </c>
      <c r="I350" s="336" t="s">
        <v>24</v>
      </c>
      <c r="J350" s="336" t="s">
        <v>25</v>
      </c>
      <c r="K350" s="336" t="s">
        <v>26</v>
      </c>
      <c r="L350" s="336" t="s">
        <v>27</v>
      </c>
      <c r="M350" s="336" t="s">
        <v>28</v>
      </c>
      <c r="N350" s="336" t="s">
        <v>11</v>
      </c>
      <c r="O350" s="46"/>
      <c r="P350" s="46"/>
      <c r="Q350" s="46"/>
      <c r="R350" s="46"/>
      <c r="S350" s="46"/>
      <c r="T350" s="407"/>
      <c r="U350" s="46"/>
    </row>
    <row r="351" spans="1:21">
      <c r="A351" s="62" t="s">
        <v>956</v>
      </c>
      <c r="B351" s="407">
        <f>P351</f>
        <v>6.0000000000000001E-3</v>
      </c>
      <c r="C351" s="46" t="s">
        <v>113</v>
      </c>
      <c r="D351" s="400" t="s">
        <v>2</v>
      </c>
      <c r="E351" s="46" t="s">
        <v>29</v>
      </c>
      <c r="F351" s="46" t="s">
        <v>14</v>
      </c>
      <c r="G351" s="46" t="s">
        <v>30</v>
      </c>
      <c r="H351" s="46">
        <v>1</v>
      </c>
      <c r="I351" s="46">
        <f>B351</f>
        <v>6.0000000000000001E-3</v>
      </c>
      <c r="J351" s="46" t="s">
        <v>31</v>
      </c>
      <c r="K351" s="46" t="s">
        <v>31</v>
      </c>
      <c r="L351" s="46" t="s">
        <v>31</v>
      </c>
      <c r="M351" s="46" t="s">
        <v>31</v>
      </c>
      <c r="N351" s="46"/>
      <c r="O351" s="388" t="s">
        <v>817</v>
      </c>
      <c r="P351" s="446">
        <v>6.0000000000000001E-3</v>
      </c>
      <c r="Q351" s="46"/>
      <c r="R351" s="46"/>
      <c r="S351" s="46"/>
      <c r="T351" s="46"/>
      <c r="U351" s="46"/>
    </row>
    <row r="352" spans="1:21">
      <c r="A352" s="32" t="s">
        <v>842</v>
      </c>
      <c r="B352" s="46">
        <f>P352</f>
        <v>0.01</v>
      </c>
      <c r="C352" s="46" t="s">
        <v>37</v>
      </c>
      <c r="D352" s="46" t="s">
        <v>40</v>
      </c>
      <c r="E352" s="46" t="s">
        <v>29</v>
      </c>
      <c r="F352" s="46" t="s">
        <v>128</v>
      </c>
      <c r="G352" s="46" t="s">
        <v>33</v>
      </c>
      <c r="H352" s="46">
        <v>2</v>
      </c>
      <c r="I352" s="46">
        <f t="shared" ref="I352:I362" si="51">LN(B352)</f>
        <v>-4.6051701859880909</v>
      </c>
      <c r="J352" s="405">
        <v>0.22516660498395411</v>
      </c>
      <c r="K352" s="46" t="s">
        <v>31</v>
      </c>
      <c r="L352" s="46" t="s">
        <v>31</v>
      </c>
      <c r="M352" s="46" t="s">
        <v>31</v>
      </c>
      <c r="N352" s="46"/>
      <c r="O352" s="393" t="s">
        <v>221</v>
      </c>
      <c r="P352" s="406">
        <v>0.01</v>
      </c>
      <c r="Q352" s="46"/>
      <c r="R352" s="46"/>
      <c r="S352" s="46"/>
      <c r="T352" s="46"/>
      <c r="U352" s="46"/>
    </row>
    <row r="353" spans="1:21">
      <c r="A353" s="338" t="s">
        <v>75</v>
      </c>
      <c r="B353" s="342">
        <f>P353</f>
        <v>0.13</v>
      </c>
      <c r="C353" s="46" t="s">
        <v>39</v>
      </c>
      <c r="D353" s="46" t="s">
        <v>40</v>
      </c>
      <c r="E353" s="46" t="s">
        <v>29</v>
      </c>
      <c r="F353" s="32" t="s">
        <v>35</v>
      </c>
      <c r="G353" s="46" t="s">
        <v>33</v>
      </c>
      <c r="H353" s="46">
        <v>2</v>
      </c>
      <c r="I353" s="46">
        <f t="shared" si="51"/>
        <v>-2.0402208285265546</v>
      </c>
      <c r="J353" s="405">
        <v>0.22516660498395411</v>
      </c>
      <c r="K353" s="46" t="s">
        <v>31</v>
      </c>
      <c r="L353" s="46" t="s">
        <v>31</v>
      </c>
      <c r="M353" s="46" t="s">
        <v>31</v>
      </c>
      <c r="N353" s="46"/>
      <c r="O353" s="393" t="s">
        <v>216</v>
      </c>
      <c r="P353" s="406">
        <v>0.13</v>
      </c>
      <c r="Q353" s="46"/>
      <c r="R353" s="46"/>
      <c r="S353" s="46"/>
      <c r="T353" s="46"/>
      <c r="U353" s="46"/>
    </row>
    <row r="354" spans="1:21">
      <c r="A354" s="32" t="s">
        <v>958</v>
      </c>
      <c r="B354" s="407">
        <f>R354</f>
        <v>2.1000000000000001E-4</v>
      </c>
      <c r="C354" s="46" t="s">
        <v>37</v>
      </c>
      <c r="D354" s="46" t="s">
        <v>40</v>
      </c>
      <c r="E354" s="46" t="s">
        <v>29</v>
      </c>
      <c r="F354" s="46" t="s">
        <v>35</v>
      </c>
      <c r="G354" s="46" t="s">
        <v>33</v>
      </c>
      <c r="H354" s="46">
        <v>2</v>
      </c>
      <c r="I354" s="46">
        <f t="shared" si="51"/>
        <v>-8.468403027246806</v>
      </c>
      <c r="J354" s="405">
        <v>0.22516660498395411</v>
      </c>
      <c r="K354" s="46" t="s">
        <v>31</v>
      </c>
      <c r="L354" s="46" t="s">
        <v>31</v>
      </c>
      <c r="M354" s="46" t="s">
        <v>31</v>
      </c>
      <c r="N354" s="46"/>
      <c r="O354" s="393" t="s">
        <v>575</v>
      </c>
      <c r="P354" s="444">
        <v>0.21</v>
      </c>
      <c r="Q354" s="46" t="s">
        <v>221</v>
      </c>
      <c r="R354" s="407">
        <f>0.001*P354</f>
        <v>2.1000000000000001E-4</v>
      </c>
      <c r="S354" s="46"/>
      <c r="T354" s="46"/>
      <c r="U354" s="46"/>
    </row>
    <row r="355" spans="1:21">
      <c r="A355" s="32" t="s">
        <v>959</v>
      </c>
      <c r="B355" s="407">
        <f>P355</f>
        <v>1E-3</v>
      </c>
      <c r="C355" s="46" t="s">
        <v>37</v>
      </c>
      <c r="D355" s="46" t="s">
        <v>40</v>
      </c>
      <c r="E355" s="46" t="s">
        <v>29</v>
      </c>
      <c r="F355" s="46" t="s">
        <v>35</v>
      </c>
      <c r="G355" s="46" t="s">
        <v>33</v>
      </c>
      <c r="H355" s="46">
        <v>2</v>
      </c>
      <c r="I355" s="46">
        <f t="shared" si="51"/>
        <v>-6.9077552789821368</v>
      </c>
      <c r="J355" s="405">
        <v>0.22516660498395411</v>
      </c>
      <c r="K355" s="46" t="s">
        <v>31</v>
      </c>
      <c r="L355" s="46" t="s">
        <v>31</v>
      </c>
      <c r="M355" s="46" t="s">
        <v>31</v>
      </c>
      <c r="N355" s="46"/>
      <c r="O355" s="393" t="s">
        <v>221</v>
      </c>
      <c r="P355" s="444">
        <v>1E-3</v>
      </c>
      <c r="Q355" s="46"/>
      <c r="R355" s="46"/>
      <c r="S355" s="46"/>
      <c r="T355" s="46"/>
      <c r="U355" s="46"/>
    </row>
    <row r="356" spans="1:21">
      <c r="A356" s="32" t="s">
        <v>960</v>
      </c>
      <c r="B356" s="407">
        <f>P356</f>
        <v>8.0000000000000004E-4</v>
      </c>
      <c r="C356" s="46" t="s">
        <v>37</v>
      </c>
      <c r="D356" s="46" t="s">
        <v>40</v>
      </c>
      <c r="E356" s="46" t="s">
        <v>29</v>
      </c>
      <c r="F356" s="46" t="s">
        <v>35</v>
      </c>
      <c r="G356" s="46" t="s">
        <v>33</v>
      </c>
      <c r="H356" s="46">
        <v>2</v>
      </c>
      <c r="I356" s="46">
        <f t="shared" si="51"/>
        <v>-7.1308988302963465</v>
      </c>
      <c r="J356" s="405">
        <v>0.22516660498395411</v>
      </c>
      <c r="K356" s="46" t="s">
        <v>31</v>
      </c>
      <c r="L356" s="46" t="s">
        <v>31</v>
      </c>
      <c r="M356" s="46" t="s">
        <v>31</v>
      </c>
      <c r="N356" s="46"/>
      <c r="O356" s="393" t="s">
        <v>221</v>
      </c>
      <c r="P356" s="444">
        <v>8.0000000000000004E-4</v>
      </c>
      <c r="Q356" s="46"/>
      <c r="R356" s="46"/>
      <c r="S356" s="46"/>
      <c r="T356" s="46"/>
      <c r="U356" s="46"/>
    </row>
    <row r="357" spans="1:21">
      <c r="A357" s="32" t="s">
        <v>961</v>
      </c>
      <c r="B357" s="407">
        <f>P357</f>
        <v>7.3000000000000001E-3</v>
      </c>
      <c r="C357" s="46" t="s">
        <v>37</v>
      </c>
      <c r="D357" s="46" t="s">
        <v>40</v>
      </c>
      <c r="E357" s="46" t="s">
        <v>29</v>
      </c>
      <c r="F357" s="46" t="s">
        <v>35</v>
      </c>
      <c r="G357" s="46" t="s">
        <v>33</v>
      </c>
      <c r="H357" s="46">
        <v>2</v>
      </c>
      <c r="I357" s="46">
        <f t="shared" si="51"/>
        <v>-4.9198809308277918</v>
      </c>
      <c r="J357" s="405">
        <v>0.22516660498395411</v>
      </c>
      <c r="K357" s="46" t="s">
        <v>31</v>
      </c>
      <c r="L357" s="46" t="s">
        <v>31</v>
      </c>
      <c r="M357" s="46" t="s">
        <v>31</v>
      </c>
      <c r="N357" s="46"/>
      <c r="O357" s="393" t="s">
        <v>221</v>
      </c>
      <c r="P357" s="406">
        <v>7.3000000000000001E-3</v>
      </c>
      <c r="Q357" s="46"/>
      <c r="R357" s="46"/>
      <c r="S357" s="46"/>
      <c r="T357" s="46"/>
      <c r="U357" s="46"/>
    </row>
    <row r="358" spans="1:21">
      <c r="A358" s="32" t="s">
        <v>962</v>
      </c>
      <c r="B358" s="407">
        <f>R358</f>
        <v>4.2000000000000004E-5</v>
      </c>
      <c r="C358" s="46" t="s">
        <v>37</v>
      </c>
      <c r="D358" s="46" t="s">
        <v>43</v>
      </c>
      <c r="E358" s="46" t="s">
        <v>44</v>
      </c>
      <c r="F358" s="46" t="s">
        <v>29</v>
      </c>
      <c r="G358" s="46" t="s">
        <v>45</v>
      </c>
      <c r="H358" s="46">
        <v>2</v>
      </c>
      <c r="I358" s="46">
        <f t="shared" si="51"/>
        <v>-10.077840939680906</v>
      </c>
      <c r="J358" s="405">
        <v>0.10344080432788608</v>
      </c>
      <c r="K358" s="46" t="s">
        <v>31</v>
      </c>
      <c r="L358" s="46" t="s">
        <v>31</v>
      </c>
      <c r="M358" s="46" t="s">
        <v>31</v>
      </c>
      <c r="N358" s="46"/>
      <c r="O358" s="408" t="s">
        <v>575</v>
      </c>
      <c r="P358" s="409">
        <v>4.2000000000000003E-2</v>
      </c>
      <c r="Q358" s="46" t="s">
        <v>221</v>
      </c>
      <c r="R358" s="407">
        <f t="shared" ref="R358:R361" si="52">0.001*P358</f>
        <v>4.2000000000000004E-5</v>
      </c>
      <c r="S358" s="46"/>
      <c r="T358" s="46"/>
      <c r="U358" s="46"/>
    </row>
    <row r="359" spans="1:21">
      <c r="A359" s="32" t="s">
        <v>229</v>
      </c>
      <c r="B359" s="407">
        <f t="shared" ref="B359:B361" si="53">R359</f>
        <v>4.6000000000000001E-4</v>
      </c>
      <c r="C359" s="46" t="s">
        <v>37</v>
      </c>
      <c r="D359" s="46" t="s">
        <v>43</v>
      </c>
      <c r="E359" s="46" t="s">
        <v>44</v>
      </c>
      <c r="F359" s="46" t="s">
        <v>29</v>
      </c>
      <c r="G359" s="46" t="s">
        <v>45</v>
      </c>
      <c r="H359" s="46">
        <v>2</v>
      </c>
      <c r="I359" s="46">
        <f t="shared" si="51"/>
        <v>-7.6842840684811335</v>
      </c>
      <c r="J359" s="405">
        <v>0.10344080432788608</v>
      </c>
      <c r="K359" s="46" t="s">
        <v>31</v>
      </c>
      <c r="L359" s="46" t="s">
        <v>31</v>
      </c>
      <c r="M359" s="46" t="s">
        <v>31</v>
      </c>
      <c r="N359" s="46"/>
      <c r="O359" s="408" t="s">
        <v>575</v>
      </c>
      <c r="P359" s="409">
        <v>0.46</v>
      </c>
      <c r="Q359" s="46" t="s">
        <v>221</v>
      </c>
      <c r="R359" s="407">
        <f t="shared" si="52"/>
        <v>4.6000000000000001E-4</v>
      </c>
      <c r="S359" s="46"/>
      <c r="T359" s="46"/>
      <c r="U359" s="46"/>
    </row>
    <row r="360" spans="1:21">
      <c r="A360" s="32" t="s">
        <v>963</v>
      </c>
      <c r="B360" s="407">
        <f t="shared" si="53"/>
        <v>2.9E-4</v>
      </c>
      <c r="C360" s="46" t="s">
        <v>37</v>
      </c>
      <c r="D360" s="46" t="s">
        <v>43</v>
      </c>
      <c r="E360" s="46" t="s">
        <v>44</v>
      </c>
      <c r="F360" s="46" t="s">
        <v>29</v>
      </c>
      <c r="G360" s="46" t="s">
        <v>45</v>
      </c>
      <c r="H360" s="46">
        <v>2</v>
      </c>
      <c r="I360" s="46">
        <f t="shared" si="51"/>
        <v>-8.145629634983754</v>
      </c>
      <c r="J360" s="405">
        <v>0.10344080432788608</v>
      </c>
      <c r="K360" s="46" t="s">
        <v>31</v>
      </c>
      <c r="L360" s="46" t="s">
        <v>31</v>
      </c>
      <c r="M360" s="46" t="s">
        <v>31</v>
      </c>
      <c r="N360" s="46"/>
      <c r="O360" s="408" t="s">
        <v>575</v>
      </c>
      <c r="P360" s="409">
        <v>0.28999999999999998</v>
      </c>
      <c r="Q360" s="46" t="s">
        <v>221</v>
      </c>
      <c r="R360" s="407">
        <f t="shared" si="52"/>
        <v>2.9E-4</v>
      </c>
      <c r="S360" s="46"/>
      <c r="T360" s="46"/>
      <c r="U360" s="46"/>
    </row>
    <row r="361" spans="1:21">
      <c r="A361" s="32" t="s">
        <v>760</v>
      </c>
      <c r="B361" s="407">
        <f t="shared" si="53"/>
        <v>1.7000000000000001E-4</v>
      </c>
      <c r="C361" s="46" t="s">
        <v>37</v>
      </c>
      <c r="D361" s="46" t="s">
        <v>43</v>
      </c>
      <c r="E361" s="46" t="s">
        <v>44</v>
      </c>
      <c r="F361" s="46" t="s">
        <v>29</v>
      </c>
      <c r="G361" s="46" t="s">
        <v>45</v>
      </c>
      <c r="H361" s="46">
        <v>2</v>
      </c>
      <c r="I361" s="46">
        <f t="shared" si="51"/>
        <v>-8.6797121209140116</v>
      </c>
      <c r="J361" s="405">
        <v>0.10344080432788608</v>
      </c>
      <c r="K361" s="46" t="s">
        <v>31</v>
      </c>
      <c r="L361" s="46" t="s">
        <v>31</v>
      </c>
      <c r="M361" s="46" t="s">
        <v>31</v>
      </c>
      <c r="N361" s="46"/>
      <c r="O361" s="408" t="s">
        <v>575</v>
      </c>
      <c r="P361" s="409">
        <v>0.17</v>
      </c>
      <c r="Q361" s="46" t="s">
        <v>221</v>
      </c>
      <c r="R361" s="407">
        <f t="shared" si="52"/>
        <v>1.7000000000000001E-4</v>
      </c>
      <c r="S361" s="46"/>
      <c r="T361" s="46"/>
      <c r="U361" s="46"/>
    </row>
    <row r="362" spans="1:21">
      <c r="A362" s="46" t="s">
        <v>783</v>
      </c>
      <c r="B362" s="407">
        <f t="shared" ref="B362" si="54">P362</f>
        <v>2.3E-3</v>
      </c>
      <c r="C362" s="46" t="s">
        <v>37</v>
      </c>
      <c r="D362" s="400" t="s">
        <v>2</v>
      </c>
      <c r="E362" s="46" t="s">
        <v>29</v>
      </c>
      <c r="F362" s="32" t="s">
        <v>741</v>
      </c>
      <c r="G362" s="46" t="s">
        <v>33</v>
      </c>
      <c r="H362" s="46">
        <v>2</v>
      </c>
      <c r="I362" s="46">
        <f t="shared" si="51"/>
        <v>-6.074846156047033</v>
      </c>
      <c r="J362" s="46">
        <v>0.11269427669584645</v>
      </c>
      <c r="K362" s="46" t="s">
        <v>31</v>
      </c>
      <c r="L362" s="46" t="s">
        <v>31</v>
      </c>
      <c r="M362" s="46" t="s">
        <v>31</v>
      </c>
      <c r="N362" s="46"/>
      <c r="O362" s="410" t="s">
        <v>221</v>
      </c>
      <c r="P362" s="445">
        <v>2.3E-3</v>
      </c>
      <c r="Q362" s="46"/>
      <c r="R362" s="46"/>
      <c r="S362" s="46"/>
      <c r="T362" s="46"/>
      <c r="U362" s="46"/>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F50C6-D7E9-4B18-BF9E-6DBA7D57744B}">
  <sheetPr>
    <tabColor theme="8"/>
  </sheetPr>
  <dimension ref="A1:AC57"/>
  <sheetViews>
    <sheetView zoomScale="85" zoomScaleNormal="85" workbookViewId="0">
      <selection activeCell="I13" sqref="I13:I30"/>
    </sheetView>
  </sheetViews>
  <sheetFormatPr defaultRowHeight="12.75"/>
  <cols>
    <col min="1" max="1" width="69.7109375" style="46" bestFit="1" customWidth="1"/>
    <col min="2" max="2" width="62" style="46" bestFit="1" customWidth="1"/>
    <col min="3" max="3" width="13.28515625" style="46" bestFit="1" customWidth="1"/>
    <col min="4" max="4" width="37.140625" style="46" bestFit="1" customWidth="1"/>
    <col min="5" max="5" width="11" style="46" bestFit="1" customWidth="1"/>
    <col min="6" max="6" width="23.85546875" style="46" bestFit="1" customWidth="1"/>
    <col min="7" max="7" width="13.42578125" style="46" bestFit="1" customWidth="1"/>
    <col min="8" max="8" width="17.7109375" style="46" bestFit="1" customWidth="1"/>
    <col min="9" max="9" width="7" style="46" bestFit="1" customWidth="1"/>
    <col min="10" max="10" width="12" style="46" bestFit="1" customWidth="1"/>
    <col min="11" max="13" width="10.85546875" style="46" bestFit="1" customWidth="1"/>
    <col min="14" max="23" width="9.140625" style="46"/>
    <col min="24" max="24" width="0" style="46" hidden="1" customWidth="1"/>
    <col min="25" max="16384" width="9.140625" style="46"/>
  </cols>
  <sheetData>
    <row r="1" spans="1:26">
      <c r="A1" s="46" t="s">
        <v>0</v>
      </c>
      <c r="B1" s="46">
        <v>13</v>
      </c>
      <c r="N1" s="46" t="str">
        <f ca="1">UPPER(CONCATENATE(DEC2HEX(RANDBETWEEN(0,POWER(16,8)),8),DEC2HEX(RANDBETWEEN(0,POWER(16,4)),4),"4",DEC2HEX(RANDBETWEEN(0,POWER(16,3)),3),DEC2HEX(RANDBETWEEN(8,11)),DEC2HEX(RANDBETWEEN(0,POWER(16,3)),3),DEC2HEX(RANDBETWEEN(0,POWER(16,8)),8),DEC2HEX(RANDBETWEEN(0,POWER(16,4)),4)))</f>
        <v>6929D0E1CACF4E21B6EBCDCEB69E1295</v>
      </c>
    </row>
    <row r="2" spans="1:26">
      <c r="A2" s="362" t="s">
        <v>5</v>
      </c>
      <c r="B2" s="363" t="s">
        <v>771</v>
      </c>
      <c r="C2" s="364"/>
      <c r="D2" s="345"/>
      <c r="E2" s="345"/>
      <c r="F2" s="345"/>
      <c r="G2" s="345"/>
      <c r="H2" s="345"/>
      <c r="I2" s="345"/>
      <c r="J2" s="345"/>
      <c r="K2" s="345"/>
      <c r="L2" s="345"/>
      <c r="M2" s="345"/>
    </row>
    <row r="3" spans="1:26">
      <c r="A3" s="338" t="s">
        <v>7</v>
      </c>
      <c r="B3" s="46" t="s">
        <v>779</v>
      </c>
      <c r="C3" s="337"/>
    </row>
    <row r="4" spans="1:26">
      <c r="A4" s="338" t="s">
        <v>9</v>
      </c>
      <c r="B4" s="46" t="s">
        <v>964</v>
      </c>
      <c r="C4" s="337"/>
    </row>
    <row r="5" spans="1:26" ht="25.5">
      <c r="A5" s="338" t="s">
        <v>11</v>
      </c>
      <c r="B5" s="339" t="s">
        <v>828</v>
      </c>
    </row>
    <row r="6" spans="1:26">
      <c r="A6" s="338" t="s">
        <v>13</v>
      </c>
      <c r="B6" s="46" t="s">
        <v>14</v>
      </c>
    </row>
    <row r="7" spans="1:26">
      <c r="A7" s="338" t="s">
        <v>15</v>
      </c>
      <c r="B7" s="46">
        <v>1</v>
      </c>
    </row>
    <row r="8" spans="1:26">
      <c r="A8" s="338" t="s">
        <v>16</v>
      </c>
      <c r="B8" s="46" t="s">
        <v>17</v>
      </c>
    </row>
    <row r="9" spans="1:26">
      <c r="A9" s="338" t="s">
        <v>18</v>
      </c>
      <c r="B9" s="46" t="s">
        <v>18</v>
      </c>
    </row>
    <row r="10" spans="1:26">
      <c r="A10" s="335" t="s">
        <v>19</v>
      </c>
    </row>
    <row r="11" spans="1:26">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row>
    <row r="12" spans="1:26">
      <c r="A12" s="363" t="s">
        <v>771</v>
      </c>
      <c r="B12" s="46">
        <v>1</v>
      </c>
      <c r="C12" s="46" t="s">
        <v>18</v>
      </c>
      <c r="D12" s="46" t="s">
        <v>2</v>
      </c>
      <c r="E12" s="46" t="s">
        <v>29</v>
      </c>
      <c r="F12" s="32" t="s">
        <v>14</v>
      </c>
      <c r="G12" s="46" t="s">
        <v>30</v>
      </c>
      <c r="H12" s="46">
        <v>1</v>
      </c>
      <c r="I12" s="46">
        <v>1</v>
      </c>
      <c r="J12" s="46" t="s">
        <v>31</v>
      </c>
      <c r="K12" s="46" t="s">
        <v>31</v>
      </c>
      <c r="L12" s="46" t="s">
        <v>31</v>
      </c>
      <c r="M12" s="46" t="s">
        <v>31</v>
      </c>
    </row>
    <row r="13" spans="1:26">
      <c r="A13" s="387" t="s">
        <v>787</v>
      </c>
      <c r="B13" s="46">
        <f>Z13</f>
        <v>7.8E-2</v>
      </c>
      <c r="C13" s="46" t="s">
        <v>37</v>
      </c>
      <c r="D13" s="46" t="s">
        <v>2</v>
      </c>
      <c r="E13" s="46" t="s">
        <v>29</v>
      </c>
      <c r="F13" s="32" t="s">
        <v>14</v>
      </c>
      <c r="G13" s="46" t="s">
        <v>33</v>
      </c>
      <c r="H13" s="46">
        <v>1</v>
      </c>
      <c r="I13" s="46">
        <f>B13</f>
        <v>7.8E-2</v>
      </c>
      <c r="J13" s="46" t="s">
        <v>31</v>
      </c>
      <c r="K13" s="46" t="s">
        <v>31</v>
      </c>
      <c r="L13" s="46" t="s">
        <v>31</v>
      </c>
      <c r="M13" s="46" t="s">
        <v>31</v>
      </c>
      <c r="U13" s="388" t="s">
        <v>965</v>
      </c>
      <c r="V13" s="388" t="s">
        <v>575</v>
      </c>
      <c r="W13" s="389">
        <v>78</v>
      </c>
      <c r="Y13" s="46" t="s">
        <v>221</v>
      </c>
      <c r="Z13" s="46">
        <f>0.001*W13</f>
        <v>7.8E-2</v>
      </c>
    </row>
    <row r="14" spans="1:26">
      <c r="A14" s="387" t="s">
        <v>813</v>
      </c>
      <c r="B14" s="46">
        <f t="shared" ref="B14:B27" si="0">Z14</f>
        <v>9.8000000000000004E-2</v>
      </c>
      <c r="C14" s="46" t="s">
        <v>37</v>
      </c>
      <c r="D14" s="46" t="s">
        <v>2</v>
      </c>
      <c r="E14" s="46" t="s">
        <v>29</v>
      </c>
      <c r="F14" s="32" t="s">
        <v>14</v>
      </c>
      <c r="G14" s="46" t="s">
        <v>33</v>
      </c>
      <c r="H14" s="46">
        <v>1</v>
      </c>
      <c r="I14" s="46">
        <f t="shared" ref="I14:I30" si="1">B14</f>
        <v>9.8000000000000004E-2</v>
      </c>
      <c r="J14" s="46" t="s">
        <v>31</v>
      </c>
      <c r="K14" s="46" t="s">
        <v>31</v>
      </c>
      <c r="L14" s="46" t="s">
        <v>31</v>
      </c>
      <c r="M14" s="46" t="s">
        <v>31</v>
      </c>
      <c r="U14" s="388" t="s">
        <v>966</v>
      </c>
      <c r="V14" s="388" t="s">
        <v>575</v>
      </c>
      <c r="W14" s="389">
        <v>98</v>
      </c>
      <c r="Y14" s="46" t="s">
        <v>221</v>
      </c>
      <c r="Z14" s="46">
        <f>0.001*W14</f>
        <v>9.8000000000000004E-2</v>
      </c>
    </row>
    <row r="15" spans="1:26">
      <c r="A15" s="390" t="s">
        <v>829</v>
      </c>
      <c r="B15" s="46">
        <f t="shared" si="0"/>
        <v>0.1</v>
      </c>
      <c r="C15" s="46" t="s">
        <v>37</v>
      </c>
      <c r="D15" s="46" t="s">
        <v>40</v>
      </c>
      <c r="E15" s="46" t="s">
        <v>29</v>
      </c>
      <c r="F15" s="32" t="s">
        <v>58</v>
      </c>
      <c r="G15" s="46" t="s">
        <v>33</v>
      </c>
      <c r="H15" s="46">
        <v>1</v>
      </c>
      <c r="I15" s="46">
        <f t="shared" si="1"/>
        <v>0.1</v>
      </c>
      <c r="J15" s="46" t="s">
        <v>31</v>
      </c>
      <c r="K15" s="46" t="s">
        <v>31</v>
      </c>
      <c r="L15" s="46" t="s">
        <v>31</v>
      </c>
      <c r="M15" s="46" t="s">
        <v>31</v>
      </c>
      <c r="U15" s="388" t="s">
        <v>967</v>
      </c>
      <c r="V15" s="388" t="s">
        <v>221</v>
      </c>
      <c r="W15" s="389">
        <v>0.1</v>
      </c>
      <c r="Y15" s="46" t="s">
        <v>221</v>
      </c>
      <c r="Z15" s="46">
        <f>W15</f>
        <v>0.1</v>
      </c>
    </row>
    <row r="16" spans="1:26">
      <c r="A16" s="387" t="s">
        <v>968</v>
      </c>
      <c r="B16" s="46">
        <f t="shared" si="0"/>
        <v>0.19</v>
      </c>
      <c r="C16" s="46" t="s">
        <v>37</v>
      </c>
      <c r="D16" s="46" t="s">
        <v>2</v>
      </c>
      <c r="E16" s="46" t="s">
        <v>29</v>
      </c>
      <c r="F16" s="32" t="s">
        <v>14</v>
      </c>
      <c r="G16" s="46" t="s">
        <v>33</v>
      </c>
      <c r="H16" s="46">
        <v>1</v>
      </c>
      <c r="I16" s="46">
        <f t="shared" si="1"/>
        <v>0.19</v>
      </c>
      <c r="J16" s="46" t="s">
        <v>31</v>
      </c>
      <c r="K16" s="46" t="s">
        <v>31</v>
      </c>
      <c r="L16" s="46" t="s">
        <v>31</v>
      </c>
      <c r="M16" s="46" t="s">
        <v>31</v>
      </c>
      <c r="U16" s="388" t="s">
        <v>969</v>
      </c>
      <c r="V16" s="388" t="s">
        <v>221</v>
      </c>
      <c r="W16" s="389">
        <v>0.19</v>
      </c>
      <c r="Y16" s="46" t="s">
        <v>221</v>
      </c>
      <c r="Z16" s="46">
        <f>W16</f>
        <v>0.19</v>
      </c>
    </row>
    <row r="17" spans="1:29">
      <c r="A17" s="448" t="s">
        <v>970</v>
      </c>
      <c r="B17" s="46">
        <f t="shared" si="0"/>
        <v>2.6437500000000003E-2</v>
      </c>
      <c r="C17" s="369" t="s">
        <v>113</v>
      </c>
      <c r="D17" s="369" t="s">
        <v>2</v>
      </c>
      <c r="E17" s="369" t="s">
        <v>29</v>
      </c>
      <c r="F17" s="83" t="s">
        <v>14</v>
      </c>
      <c r="G17" s="369" t="s">
        <v>33</v>
      </c>
      <c r="H17" s="46">
        <v>1</v>
      </c>
      <c r="I17" s="46">
        <f t="shared" si="1"/>
        <v>2.6437500000000003E-2</v>
      </c>
      <c r="J17" s="369" t="s">
        <v>31</v>
      </c>
      <c r="K17" s="369" t="s">
        <v>31</v>
      </c>
      <c r="L17" s="369" t="s">
        <v>31</v>
      </c>
      <c r="M17" s="369" t="s">
        <v>31</v>
      </c>
      <c r="N17" s="369"/>
      <c r="O17" s="369" t="s">
        <v>971</v>
      </c>
      <c r="P17" s="369"/>
      <c r="Q17" s="369"/>
      <c r="R17" s="369"/>
      <c r="S17" s="369"/>
      <c r="T17" s="369"/>
      <c r="U17" s="449" t="s">
        <v>972</v>
      </c>
      <c r="V17" s="450" t="s">
        <v>575</v>
      </c>
      <c r="W17" s="389">
        <v>141</v>
      </c>
      <c r="X17" s="369"/>
      <c r="Y17" s="369" t="s">
        <v>605</v>
      </c>
      <c r="Z17" s="369">
        <f>W17*0.001*AB17</f>
        <v>2.6437500000000003E-2</v>
      </c>
      <c r="AA17" s="369"/>
      <c r="AB17" s="369">
        <f>'2B. Reusable'!O37</f>
        <v>0.1875</v>
      </c>
      <c r="AC17" s="369" t="s">
        <v>832</v>
      </c>
    </row>
    <row r="18" spans="1:29">
      <c r="A18" s="387" t="s">
        <v>973</v>
      </c>
      <c r="B18" s="46">
        <f t="shared" si="0"/>
        <v>0.33500000000000002</v>
      </c>
      <c r="C18" s="46" t="s">
        <v>37</v>
      </c>
      <c r="D18" s="46" t="s">
        <v>2</v>
      </c>
      <c r="E18" s="46" t="s">
        <v>29</v>
      </c>
      <c r="F18" s="32" t="s">
        <v>14</v>
      </c>
      <c r="G18" s="46" t="s">
        <v>33</v>
      </c>
      <c r="H18" s="46">
        <v>1</v>
      </c>
      <c r="I18" s="46">
        <f t="shared" si="1"/>
        <v>0.33500000000000002</v>
      </c>
      <c r="J18" s="46" t="s">
        <v>31</v>
      </c>
      <c r="K18" s="46" t="s">
        <v>31</v>
      </c>
      <c r="L18" s="46" t="s">
        <v>31</v>
      </c>
      <c r="M18" s="46" t="s">
        <v>31</v>
      </c>
      <c r="U18" s="451" t="s">
        <v>974</v>
      </c>
      <c r="V18" s="388" t="s">
        <v>575</v>
      </c>
      <c r="W18" s="389">
        <v>335</v>
      </c>
      <c r="Y18" s="46" t="s">
        <v>221</v>
      </c>
      <c r="Z18" s="46">
        <f>0.001*W18</f>
        <v>0.33500000000000002</v>
      </c>
    </row>
    <row r="19" spans="1:29">
      <c r="A19" s="15" t="s">
        <v>834</v>
      </c>
      <c r="B19" s="46">
        <f t="shared" si="0"/>
        <v>3.0000000000000001E-3</v>
      </c>
      <c r="C19" s="46" t="s">
        <v>37</v>
      </c>
      <c r="D19" s="46" t="s">
        <v>40</v>
      </c>
      <c r="E19" s="46" t="s">
        <v>29</v>
      </c>
      <c r="F19" s="32" t="s">
        <v>35</v>
      </c>
      <c r="G19" s="46" t="s">
        <v>33</v>
      </c>
      <c r="H19" s="46">
        <v>1</v>
      </c>
      <c r="I19" s="46">
        <f t="shared" si="1"/>
        <v>3.0000000000000001E-3</v>
      </c>
      <c r="J19" s="46" t="s">
        <v>31</v>
      </c>
      <c r="K19" s="46" t="s">
        <v>31</v>
      </c>
      <c r="L19" s="46" t="s">
        <v>31</v>
      </c>
      <c r="M19" s="46" t="s">
        <v>31</v>
      </c>
      <c r="N19" s="338" t="s">
        <v>835</v>
      </c>
      <c r="U19" s="388" t="s">
        <v>835</v>
      </c>
      <c r="V19" s="388" t="s">
        <v>575</v>
      </c>
      <c r="W19" s="389">
        <v>3</v>
      </c>
      <c r="Y19" s="46" t="s">
        <v>221</v>
      </c>
      <c r="Z19" s="46">
        <f>0.001*W19</f>
        <v>3.0000000000000001E-3</v>
      </c>
    </row>
    <row r="20" spans="1:29">
      <c r="A20" s="15" t="s">
        <v>601</v>
      </c>
      <c r="B20" s="46">
        <f t="shared" si="0"/>
        <v>1.4E-2</v>
      </c>
      <c r="C20" s="46" t="s">
        <v>37</v>
      </c>
      <c r="D20" s="46" t="s">
        <v>40</v>
      </c>
      <c r="E20" s="46" t="s">
        <v>29</v>
      </c>
      <c r="F20" s="32" t="s">
        <v>35</v>
      </c>
      <c r="G20" s="46" t="s">
        <v>33</v>
      </c>
      <c r="H20" s="46">
        <v>1</v>
      </c>
      <c r="I20" s="46">
        <f t="shared" si="1"/>
        <v>1.4E-2</v>
      </c>
      <c r="J20" s="46" t="s">
        <v>31</v>
      </c>
      <c r="K20" s="46" t="s">
        <v>31</v>
      </c>
      <c r="L20" s="46" t="s">
        <v>31</v>
      </c>
      <c r="M20" s="46" t="s">
        <v>31</v>
      </c>
      <c r="N20" s="338" t="s">
        <v>836</v>
      </c>
      <c r="U20" s="451" t="s">
        <v>836</v>
      </c>
      <c r="V20" s="388" t="s">
        <v>575</v>
      </c>
      <c r="W20" s="389">
        <v>14</v>
      </c>
      <c r="Y20" s="46" t="s">
        <v>221</v>
      </c>
      <c r="Z20" s="46">
        <f t="shared" ref="Z20:Z22" si="2">0.001*W20</f>
        <v>1.4E-2</v>
      </c>
    </row>
    <row r="21" spans="1:29">
      <c r="A21" s="15" t="s">
        <v>834</v>
      </c>
      <c r="B21" s="46">
        <f t="shared" si="0"/>
        <v>2E-3</v>
      </c>
      <c r="C21" s="46" t="s">
        <v>37</v>
      </c>
      <c r="D21" s="46" t="s">
        <v>40</v>
      </c>
      <c r="E21" s="46" t="s">
        <v>29</v>
      </c>
      <c r="F21" s="32" t="s">
        <v>35</v>
      </c>
      <c r="G21" s="46" t="s">
        <v>33</v>
      </c>
      <c r="H21" s="46">
        <v>1</v>
      </c>
      <c r="I21" s="46">
        <f t="shared" si="1"/>
        <v>2E-3</v>
      </c>
      <c r="J21" s="46" t="s">
        <v>31</v>
      </c>
      <c r="K21" s="46" t="s">
        <v>31</v>
      </c>
      <c r="L21" s="46" t="s">
        <v>31</v>
      </c>
      <c r="M21" s="46" t="s">
        <v>31</v>
      </c>
      <c r="N21" s="338" t="s">
        <v>837</v>
      </c>
      <c r="U21" s="451" t="s">
        <v>837</v>
      </c>
      <c r="V21" s="388" t="s">
        <v>575</v>
      </c>
      <c r="W21" s="389">
        <v>2</v>
      </c>
      <c r="Y21" s="46" t="s">
        <v>221</v>
      </c>
      <c r="Z21" s="46">
        <f t="shared" si="2"/>
        <v>2E-3</v>
      </c>
    </row>
    <row r="22" spans="1:29">
      <c r="A22" s="15" t="s">
        <v>975</v>
      </c>
      <c r="B22" s="46">
        <f t="shared" si="0"/>
        <v>2E-3</v>
      </c>
      <c r="C22" s="46" t="s">
        <v>37</v>
      </c>
      <c r="D22" s="46" t="s">
        <v>40</v>
      </c>
      <c r="E22" s="46" t="s">
        <v>29</v>
      </c>
      <c r="F22" s="32" t="s">
        <v>35</v>
      </c>
      <c r="G22" s="46" t="s">
        <v>33</v>
      </c>
      <c r="H22" s="46">
        <v>1</v>
      </c>
      <c r="I22" s="46">
        <f t="shared" si="1"/>
        <v>2E-3</v>
      </c>
      <c r="J22" s="46" t="s">
        <v>31</v>
      </c>
      <c r="K22" s="46" t="s">
        <v>31</v>
      </c>
      <c r="L22" s="46" t="s">
        <v>31</v>
      </c>
      <c r="M22" s="46" t="s">
        <v>31</v>
      </c>
      <c r="N22" s="338" t="s">
        <v>837</v>
      </c>
      <c r="U22" s="451" t="s">
        <v>837</v>
      </c>
      <c r="V22" s="388" t="s">
        <v>575</v>
      </c>
      <c r="W22" s="389">
        <v>2</v>
      </c>
      <c r="Y22" s="46" t="s">
        <v>221</v>
      </c>
      <c r="Z22" s="46">
        <f t="shared" si="2"/>
        <v>2E-3</v>
      </c>
    </row>
    <row r="23" spans="1:29">
      <c r="A23" s="390" t="s">
        <v>976</v>
      </c>
      <c r="B23" s="46">
        <f t="shared" si="0"/>
        <v>0.02</v>
      </c>
      <c r="C23" s="46" t="s">
        <v>37</v>
      </c>
      <c r="D23" s="46" t="s">
        <v>2</v>
      </c>
      <c r="E23" s="46" t="s">
        <v>29</v>
      </c>
      <c r="F23" s="32" t="s">
        <v>14</v>
      </c>
      <c r="G23" s="46" t="s">
        <v>33</v>
      </c>
      <c r="H23" s="46">
        <v>1</v>
      </c>
      <c r="I23" s="46">
        <f t="shared" si="1"/>
        <v>0.02</v>
      </c>
      <c r="J23" s="46" t="s">
        <v>31</v>
      </c>
      <c r="K23" s="46" t="s">
        <v>31</v>
      </c>
      <c r="L23" s="46" t="s">
        <v>31</v>
      </c>
      <c r="M23" s="46" t="s">
        <v>31</v>
      </c>
      <c r="N23" s="338" t="s">
        <v>977</v>
      </c>
      <c r="U23" s="388" t="s">
        <v>977</v>
      </c>
      <c r="V23" s="388" t="s">
        <v>221</v>
      </c>
      <c r="W23" s="389">
        <v>0.02</v>
      </c>
      <c r="Y23" s="46" t="s">
        <v>221</v>
      </c>
      <c r="Z23" s="46">
        <f t="shared" ref="Z23:Z24" si="3">W23</f>
        <v>0.02</v>
      </c>
    </row>
    <row r="24" spans="1:29">
      <c r="A24" s="387" t="s">
        <v>978</v>
      </c>
      <c r="B24" s="350">
        <f>'2B. Machined casing'!B7</f>
        <v>3.15</v>
      </c>
      <c r="C24" s="46" t="s">
        <v>37</v>
      </c>
      <c r="D24" s="46" t="s">
        <v>2</v>
      </c>
      <c r="E24" s="46" t="s">
        <v>29</v>
      </c>
      <c r="F24" s="32" t="s">
        <v>14</v>
      </c>
      <c r="G24" s="46" t="s">
        <v>33</v>
      </c>
      <c r="H24" s="46">
        <v>1</v>
      </c>
      <c r="I24" s="46">
        <f t="shared" si="1"/>
        <v>3.15</v>
      </c>
      <c r="J24" s="46" t="s">
        <v>31</v>
      </c>
      <c r="K24" s="46" t="s">
        <v>31</v>
      </c>
      <c r="L24" s="46" t="s">
        <v>31</v>
      </c>
      <c r="M24" s="46" t="s">
        <v>31</v>
      </c>
      <c r="N24" s="338" t="s">
        <v>840</v>
      </c>
      <c r="U24" s="388" t="s">
        <v>979</v>
      </c>
      <c r="V24" s="392" t="s">
        <v>221</v>
      </c>
      <c r="W24" s="389">
        <v>3</v>
      </c>
      <c r="Y24" s="46" t="s">
        <v>221</v>
      </c>
      <c r="Z24" s="46">
        <f t="shared" si="3"/>
        <v>3</v>
      </c>
    </row>
    <row r="25" spans="1:29">
      <c r="A25" s="15" t="s">
        <v>842</v>
      </c>
      <c r="B25" s="46">
        <f t="shared" si="0"/>
        <v>6.0000000000000001E-3</v>
      </c>
      <c r="C25" s="46" t="s">
        <v>37</v>
      </c>
      <c r="D25" s="46" t="s">
        <v>40</v>
      </c>
      <c r="E25" s="46" t="s">
        <v>29</v>
      </c>
      <c r="F25" s="32" t="s">
        <v>128</v>
      </c>
      <c r="G25" s="46" t="s">
        <v>33</v>
      </c>
      <c r="H25" s="46">
        <v>1</v>
      </c>
      <c r="I25" s="46">
        <f t="shared" si="1"/>
        <v>6.0000000000000001E-3</v>
      </c>
      <c r="J25" s="46" t="s">
        <v>31</v>
      </c>
      <c r="K25" s="46" t="s">
        <v>31</v>
      </c>
      <c r="L25" s="46" t="s">
        <v>31</v>
      </c>
      <c r="M25" s="46" t="s">
        <v>31</v>
      </c>
      <c r="N25" s="338" t="s">
        <v>843</v>
      </c>
      <c r="U25" s="393" t="s">
        <v>843</v>
      </c>
      <c r="V25" s="393" t="s">
        <v>575</v>
      </c>
      <c r="W25" s="394">
        <v>6</v>
      </c>
      <c r="Y25" s="46" t="s">
        <v>221</v>
      </c>
      <c r="Z25" s="46">
        <f t="shared" ref="Z25:Z27" si="4">0.001*W25</f>
        <v>6.0000000000000001E-3</v>
      </c>
    </row>
    <row r="26" spans="1:29">
      <c r="A26" s="15" t="s">
        <v>844</v>
      </c>
      <c r="B26" s="46">
        <f t="shared" si="0"/>
        <v>1E-3</v>
      </c>
      <c r="C26" s="46" t="s">
        <v>37</v>
      </c>
      <c r="D26" s="46" t="s">
        <v>40</v>
      </c>
      <c r="E26" s="46" t="s">
        <v>29</v>
      </c>
      <c r="F26" s="32" t="s">
        <v>58</v>
      </c>
      <c r="G26" s="46" t="s">
        <v>33</v>
      </c>
      <c r="H26" s="46">
        <v>1</v>
      </c>
      <c r="I26" s="46">
        <f t="shared" si="1"/>
        <v>1E-3</v>
      </c>
      <c r="J26" s="46" t="s">
        <v>31</v>
      </c>
      <c r="K26" s="46" t="s">
        <v>31</v>
      </c>
      <c r="L26" s="46" t="s">
        <v>31</v>
      </c>
      <c r="M26" s="46" t="s">
        <v>31</v>
      </c>
      <c r="N26" s="46" t="s">
        <v>845</v>
      </c>
      <c r="U26" s="393" t="s">
        <v>845</v>
      </c>
      <c r="V26" s="393" t="s">
        <v>575</v>
      </c>
      <c r="W26" s="394">
        <v>1</v>
      </c>
      <c r="Y26" s="46" t="s">
        <v>221</v>
      </c>
      <c r="Z26" s="46">
        <f t="shared" si="4"/>
        <v>1E-3</v>
      </c>
    </row>
    <row r="27" spans="1:29">
      <c r="A27" s="15" t="s">
        <v>601</v>
      </c>
      <c r="B27" s="46">
        <f t="shared" si="0"/>
        <v>1E-3</v>
      </c>
      <c r="C27" s="46" t="s">
        <v>37</v>
      </c>
      <c r="D27" s="46" t="s">
        <v>40</v>
      </c>
      <c r="E27" s="46" t="s">
        <v>29</v>
      </c>
      <c r="F27" s="32" t="s">
        <v>35</v>
      </c>
      <c r="G27" s="46" t="s">
        <v>33</v>
      </c>
      <c r="H27" s="46">
        <v>1</v>
      </c>
      <c r="I27" s="46">
        <f t="shared" si="1"/>
        <v>1E-3</v>
      </c>
      <c r="J27" s="46" t="s">
        <v>31</v>
      </c>
      <c r="K27" s="46" t="s">
        <v>31</v>
      </c>
      <c r="L27" s="46" t="s">
        <v>31</v>
      </c>
      <c r="M27" s="46" t="s">
        <v>31</v>
      </c>
      <c r="N27" s="46" t="s">
        <v>846</v>
      </c>
      <c r="U27" s="393" t="s">
        <v>846</v>
      </c>
      <c r="V27" s="393" t="s">
        <v>575</v>
      </c>
      <c r="W27" s="394">
        <v>1</v>
      </c>
      <c r="Y27" s="46" t="s">
        <v>221</v>
      </c>
      <c r="Z27" s="46">
        <f t="shared" si="4"/>
        <v>1E-3</v>
      </c>
    </row>
    <row r="28" spans="1:29">
      <c r="A28" s="452" t="s">
        <v>75</v>
      </c>
      <c r="B28" s="46">
        <v>0.7</v>
      </c>
      <c r="C28" s="46" t="s">
        <v>39</v>
      </c>
      <c r="D28" s="46" t="s">
        <v>40</v>
      </c>
      <c r="E28" s="46" t="s">
        <v>29</v>
      </c>
      <c r="F28" s="46" t="s">
        <v>14</v>
      </c>
      <c r="G28" s="46" t="s">
        <v>33</v>
      </c>
      <c r="H28" s="46">
        <v>1</v>
      </c>
      <c r="I28" s="46">
        <f t="shared" si="1"/>
        <v>0.7</v>
      </c>
      <c r="J28" s="46" t="s">
        <v>31</v>
      </c>
      <c r="K28" s="46" t="s">
        <v>31</v>
      </c>
      <c r="L28" s="46" t="s">
        <v>31</v>
      </c>
      <c r="M28" s="46" t="s">
        <v>31</v>
      </c>
      <c r="N28" s="46" t="s">
        <v>980</v>
      </c>
      <c r="U28" s="388"/>
      <c r="V28" s="392"/>
      <c r="W28" s="389"/>
    </row>
    <row r="29" spans="1:29">
      <c r="A29" s="452" t="s">
        <v>75</v>
      </c>
      <c r="B29" s="46">
        <v>0.2</v>
      </c>
      <c r="C29" s="46" t="s">
        <v>39</v>
      </c>
      <c r="D29" s="46" t="s">
        <v>40</v>
      </c>
      <c r="E29" s="46" t="s">
        <v>29</v>
      </c>
      <c r="F29" s="46" t="s">
        <v>14</v>
      </c>
      <c r="G29" s="46" t="s">
        <v>33</v>
      </c>
      <c r="H29" s="46">
        <v>1</v>
      </c>
      <c r="I29" s="46">
        <f t="shared" si="1"/>
        <v>0.2</v>
      </c>
      <c r="J29" s="46" t="s">
        <v>31</v>
      </c>
      <c r="K29" s="46" t="s">
        <v>31</v>
      </c>
      <c r="L29" s="46" t="s">
        <v>31</v>
      </c>
      <c r="M29" s="46" t="s">
        <v>31</v>
      </c>
      <c r="N29" s="46" t="s">
        <v>848</v>
      </c>
    </row>
    <row r="30" spans="1:29">
      <c r="A30" s="452" t="s">
        <v>75</v>
      </c>
      <c r="B30" s="46">
        <v>1.5</v>
      </c>
      <c r="C30" s="46" t="s">
        <v>39</v>
      </c>
      <c r="D30" s="46" t="s">
        <v>40</v>
      </c>
      <c r="E30" s="46" t="s">
        <v>29</v>
      </c>
      <c r="F30" s="46" t="s">
        <v>14</v>
      </c>
      <c r="G30" s="46" t="s">
        <v>33</v>
      </c>
      <c r="H30" s="46">
        <v>1</v>
      </c>
      <c r="I30" s="46">
        <f t="shared" si="1"/>
        <v>1.5</v>
      </c>
      <c r="J30" s="46" t="s">
        <v>31</v>
      </c>
      <c r="K30" s="46" t="s">
        <v>31</v>
      </c>
      <c r="L30" s="46" t="s">
        <v>31</v>
      </c>
      <c r="M30" s="46" t="s">
        <v>31</v>
      </c>
      <c r="N30" s="46" t="s">
        <v>849</v>
      </c>
    </row>
    <row r="31" spans="1:29">
      <c r="A31" s="362"/>
      <c r="B31" s="363"/>
      <c r="C31" s="364"/>
      <c r="D31" s="345"/>
      <c r="E31" s="345"/>
      <c r="F31" s="345"/>
      <c r="G31" s="345"/>
      <c r="H31" s="345"/>
      <c r="I31" s="345"/>
      <c r="J31" s="345"/>
      <c r="K31" s="345"/>
      <c r="L31" s="345"/>
      <c r="M31" s="345"/>
      <c r="N31" s="46" t="s">
        <v>850</v>
      </c>
    </row>
    <row r="32" spans="1:29">
      <c r="A32" s="338"/>
      <c r="C32" s="337"/>
      <c r="N32" s="400">
        <f>SUM(B13:B27)-B17+0.141</f>
        <v>4.1410000000000009</v>
      </c>
    </row>
    <row r="33" spans="1:14">
      <c r="A33" s="338"/>
      <c r="C33" s="337"/>
    </row>
    <row r="34" spans="1:14">
      <c r="A34" s="338"/>
      <c r="B34" s="339"/>
    </row>
    <row r="36" spans="1:14">
      <c r="A36" s="338"/>
    </row>
    <row r="38" spans="1:14">
      <c r="A38" s="62"/>
      <c r="B38" s="412"/>
      <c r="F38" s="32"/>
    </row>
    <row r="39" spans="1:14">
      <c r="A39" s="335"/>
    </row>
    <row r="40" spans="1:14">
      <c r="A40" s="335"/>
      <c r="B40" s="336"/>
      <c r="C40" s="336"/>
      <c r="D40" s="336"/>
      <c r="E40" s="336"/>
      <c r="F40" s="336"/>
      <c r="G40" s="336"/>
      <c r="H40" s="336"/>
      <c r="I40" s="336"/>
      <c r="J40" s="336"/>
      <c r="K40" s="336"/>
      <c r="L40" s="336"/>
      <c r="M40" s="336"/>
      <c r="N40" s="336"/>
    </row>
    <row r="41" spans="1:14">
      <c r="A41" s="338"/>
      <c r="F41" s="32"/>
    </row>
    <row r="42" spans="1:14">
      <c r="A42" s="338"/>
      <c r="F42" s="32"/>
    </row>
    <row r="43" spans="1:14">
      <c r="A43" s="338"/>
      <c r="F43" s="32"/>
    </row>
    <row r="44" spans="1:14">
      <c r="A44" s="338"/>
      <c r="F44" s="32"/>
    </row>
    <row r="45" spans="1:14">
      <c r="A45" s="338"/>
      <c r="F45" s="32"/>
    </row>
    <row r="46" spans="1:14">
      <c r="A46" s="338"/>
      <c r="F46" s="32"/>
    </row>
    <row r="47" spans="1:14">
      <c r="A47" s="338"/>
      <c r="F47" s="32"/>
    </row>
    <row r="48" spans="1:14">
      <c r="A48" s="338"/>
      <c r="F48" s="32"/>
    </row>
    <row r="49" spans="1:6">
      <c r="A49" s="338"/>
      <c r="F49" s="32"/>
    </row>
    <row r="50" spans="1:6">
      <c r="A50" s="338"/>
      <c r="F50" s="32"/>
    </row>
    <row r="51" spans="1:6">
      <c r="A51" s="338"/>
      <c r="F51" s="32"/>
    </row>
    <row r="52" spans="1:6">
      <c r="A52" s="338"/>
      <c r="F52" s="32"/>
    </row>
    <row r="53" spans="1:6">
      <c r="A53" s="338"/>
      <c r="F53" s="32"/>
    </row>
    <row r="54" spans="1:6">
      <c r="A54" s="338"/>
      <c r="F54" s="32"/>
    </row>
    <row r="55" spans="1:6">
      <c r="F55" s="32"/>
    </row>
    <row r="57" spans="1:6">
      <c r="A57" s="338"/>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ABD0A-6CA9-457F-9F76-255BD6AD48C5}">
  <sheetPr>
    <tabColor theme="8"/>
  </sheetPr>
  <dimension ref="A1:U104"/>
  <sheetViews>
    <sheetView zoomScale="70" zoomScaleNormal="70" workbookViewId="0">
      <selection activeCell="P60" sqref="P60"/>
    </sheetView>
  </sheetViews>
  <sheetFormatPr defaultRowHeight="15"/>
  <cols>
    <col min="1" max="1" width="52.42578125" style="22" customWidth="1"/>
    <col min="2" max="2" width="17.5703125" customWidth="1"/>
    <col min="3" max="3" width="13.7109375" customWidth="1"/>
    <col min="4" max="4" width="39.85546875" customWidth="1"/>
    <col min="7" max="7" width="14.85546875" customWidth="1"/>
  </cols>
  <sheetData>
    <row r="1" spans="1:21">
      <c r="A1" s="46" t="s">
        <v>0</v>
      </c>
      <c r="B1">
        <v>13</v>
      </c>
    </row>
    <row r="2" spans="1:21" ht="15.75">
      <c r="A2" s="107" t="s">
        <v>5</v>
      </c>
      <c r="B2" s="148" t="s">
        <v>970</v>
      </c>
      <c r="C2" s="39"/>
      <c r="D2" s="41"/>
      <c r="E2" s="41"/>
      <c r="F2" s="41"/>
      <c r="G2" s="41"/>
      <c r="H2" s="41"/>
      <c r="I2" s="41"/>
      <c r="J2" s="41"/>
      <c r="K2" s="41"/>
      <c r="L2" s="41"/>
      <c r="M2" s="41"/>
      <c r="N2" s="41"/>
      <c r="O2" s="41"/>
      <c r="P2" s="41"/>
      <c r="Q2" s="41"/>
      <c r="R2" s="41"/>
    </row>
    <row r="3" spans="1:21">
      <c r="A3" s="109" t="s">
        <v>7</v>
      </c>
      <c r="B3" t="s">
        <v>779</v>
      </c>
      <c r="C3" s="102"/>
    </row>
    <row r="4" spans="1:21">
      <c r="A4" s="109" t="s">
        <v>9</v>
      </c>
      <c r="B4" t="s">
        <v>981</v>
      </c>
      <c r="C4" s="102"/>
      <c r="U4" s="129"/>
    </row>
    <row r="5" spans="1:21" ht="12.75" customHeight="1">
      <c r="A5" s="109" t="s">
        <v>11</v>
      </c>
      <c r="B5" s="103" t="s">
        <v>789</v>
      </c>
    </row>
    <row r="6" spans="1:21">
      <c r="A6" s="109" t="s">
        <v>13</v>
      </c>
      <c r="B6" t="s">
        <v>14</v>
      </c>
    </row>
    <row r="7" spans="1:21">
      <c r="A7" s="109" t="s">
        <v>15</v>
      </c>
      <c r="B7">
        <f>B12</f>
        <v>1E-3</v>
      </c>
    </row>
    <row r="8" spans="1:21">
      <c r="A8" s="109" t="s">
        <v>16</v>
      </c>
      <c r="B8" t="s">
        <v>17</v>
      </c>
    </row>
    <row r="9" spans="1:21">
      <c r="A9" s="109" t="s">
        <v>18</v>
      </c>
      <c r="B9" t="s">
        <v>113</v>
      </c>
    </row>
    <row r="10" spans="1:21" ht="15.75">
      <c r="A10" s="110" t="s">
        <v>19</v>
      </c>
    </row>
    <row r="11" spans="1:21" ht="15.75">
      <c r="A11" s="110"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75">
      <c r="A12" s="22" t="s">
        <v>970</v>
      </c>
      <c r="B12">
        <v>1E-3</v>
      </c>
      <c r="C12" t="s">
        <v>113</v>
      </c>
      <c r="D12" s="111" t="s">
        <v>2</v>
      </c>
      <c r="E12" t="s">
        <v>29</v>
      </c>
      <c r="F12" s="104" t="s">
        <v>14</v>
      </c>
      <c r="G12" t="s">
        <v>30</v>
      </c>
      <c r="H12">
        <v>1</v>
      </c>
      <c r="I12">
        <f>B12</f>
        <v>1E-3</v>
      </c>
      <c r="J12" t="s">
        <v>31</v>
      </c>
      <c r="K12" t="s">
        <v>31</v>
      </c>
      <c r="L12" t="s">
        <v>31</v>
      </c>
      <c r="M12" t="s">
        <v>31</v>
      </c>
      <c r="O12" s="149"/>
      <c r="P12" s="150"/>
    </row>
    <row r="13" spans="1:21" ht="15.75">
      <c r="A13" s="22" t="s">
        <v>982</v>
      </c>
      <c r="B13">
        <f>Q13</f>
        <v>5.3333333333333332E-3</v>
      </c>
      <c r="C13" t="s">
        <v>37</v>
      </c>
      <c r="D13" s="111" t="s">
        <v>2</v>
      </c>
      <c r="E13" t="s">
        <v>29</v>
      </c>
      <c r="F13" s="104" t="s">
        <v>14</v>
      </c>
      <c r="G13" t="s">
        <v>33</v>
      </c>
      <c r="H13">
        <v>1</v>
      </c>
      <c r="I13">
        <f t="shared" ref="I13:I14" si="0">B13</f>
        <v>5.3333333333333332E-3</v>
      </c>
      <c r="J13" t="s">
        <v>31</v>
      </c>
      <c r="K13" t="s">
        <v>31</v>
      </c>
      <c r="L13" t="s">
        <v>31</v>
      </c>
      <c r="M13" t="s">
        <v>31</v>
      </c>
      <c r="O13" s="147" t="s">
        <v>983</v>
      </c>
      <c r="Q13">
        <f>B12/O37</f>
        <v>5.3333333333333332E-3</v>
      </c>
    </row>
    <row r="14" spans="1:21" ht="15.75">
      <c r="A14" s="22" t="s">
        <v>984</v>
      </c>
      <c r="B14">
        <v>1E-3</v>
      </c>
      <c r="C14" t="s">
        <v>113</v>
      </c>
      <c r="D14" s="111" t="s">
        <v>2</v>
      </c>
      <c r="E14" t="s">
        <v>29</v>
      </c>
      <c r="F14" s="104" t="s">
        <v>14</v>
      </c>
      <c r="G14" t="s">
        <v>33</v>
      </c>
      <c r="H14">
        <v>1</v>
      </c>
      <c r="I14">
        <f t="shared" si="0"/>
        <v>1E-3</v>
      </c>
      <c r="J14" t="s">
        <v>31</v>
      </c>
      <c r="K14" t="s">
        <v>31</v>
      </c>
      <c r="L14" t="s">
        <v>31</v>
      </c>
      <c r="M14" t="s">
        <v>31</v>
      </c>
    </row>
    <row r="15" spans="1:21" ht="15.75">
      <c r="A15" s="61" t="s">
        <v>792</v>
      </c>
      <c r="B15">
        <f>P15</f>
        <v>7.0000000000000001E-3</v>
      </c>
      <c r="C15" t="s">
        <v>37</v>
      </c>
      <c r="D15" s="17" t="s">
        <v>40</v>
      </c>
      <c r="E15" t="s">
        <v>29</v>
      </c>
      <c r="F15" s="104" t="s">
        <v>741</v>
      </c>
      <c r="G15" t="s">
        <v>33</v>
      </c>
      <c r="H15">
        <v>2</v>
      </c>
      <c r="I15">
        <f>LN(B15)</f>
        <v>-4.9618451299268234</v>
      </c>
      <c r="J15" s="151">
        <v>0.11236102527122109</v>
      </c>
      <c r="K15" t="s">
        <v>31</v>
      </c>
      <c r="L15" t="s">
        <v>31</v>
      </c>
      <c r="M15" t="s">
        <v>31</v>
      </c>
      <c r="O15" s="119" t="s">
        <v>221</v>
      </c>
      <c r="P15" s="120">
        <v>7.0000000000000001E-3</v>
      </c>
    </row>
    <row r="16" spans="1:21" ht="15.75">
      <c r="A16" s="61" t="s">
        <v>857</v>
      </c>
      <c r="B16" s="116">
        <f>Q16</f>
        <v>4.0000000000000001E-10</v>
      </c>
      <c r="C16" t="s">
        <v>37</v>
      </c>
      <c r="D16" s="17" t="s">
        <v>40</v>
      </c>
      <c r="E16" t="s">
        <v>29</v>
      </c>
      <c r="F16" s="104" t="s">
        <v>58</v>
      </c>
      <c r="G16" t="s">
        <v>33</v>
      </c>
      <c r="H16">
        <v>2</v>
      </c>
      <c r="I16">
        <f t="shared" ref="I16:I17" si="1">LN(B16)</f>
        <v>-21.639556568820566</v>
      </c>
      <c r="J16" s="151">
        <v>0.11236102527122109</v>
      </c>
      <c r="K16" t="s">
        <v>31</v>
      </c>
      <c r="L16" t="s">
        <v>31</v>
      </c>
      <c r="M16" t="s">
        <v>31</v>
      </c>
      <c r="O16" s="152" t="s">
        <v>523</v>
      </c>
      <c r="P16" s="153">
        <v>4.0000000000000002E-4</v>
      </c>
      <c r="Q16" s="116">
        <f>P16*10^(-6)</f>
        <v>4.0000000000000001E-10</v>
      </c>
      <c r="R16" t="s">
        <v>37</v>
      </c>
    </row>
    <row r="17" spans="1:18" ht="15.75">
      <c r="A17" s="61" t="s">
        <v>226</v>
      </c>
      <c r="B17">
        <f>Q17</f>
        <v>6.9999999999999999E-6</v>
      </c>
      <c r="C17" t="s">
        <v>42</v>
      </c>
      <c r="D17" s="17" t="s">
        <v>40</v>
      </c>
      <c r="E17" t="s">
        <v>29</v>
      </c>
      <c r="F17" s="104" t="s">
        <v>741</v>
      </c>
      <c r="G17" t="s">
        <v>33</v>
      </c>
      <c r="H17">
        <v>2</v>
      </c>
      <c r="I17">
        <f t="shared" si="1"/>
        <v>-11.86960040890896</v>
      </c>
      <c r="J17" s="151">
        <v>0.11236102527122109</v>
      </c>
      <c r="K17" t="s">
        <v>31</v>
      </c>
      <c r="L17" t="s">
        <v>31</v>
      </c>
      <c r="M17" t="s">
        <v>31</v>
      </c>
      <c r="O17" s="154" t="s">
        <v>858</v>
      </c>
      <c r="P17" s="155">
        <v>7.0000000000000001E-3</v>
      </c>
      <c r="Q17">
        <f>P17/1000</f>
        <v>6.9999999999999999E-6</v>
      </c>
      <c r="R17" t="s">
        <v>859</v>
      </c>
    </row>
    <row r="18" spans="1:18" ht="15.75">
      <c r="A18" s="107" t="s">
        <v>5</v>
      </c>
      <c r="B18" s="148" t="s">
        <v>982</v>
      </c>
      <c r="C18" s="39"/>
      <c r="D18" s="41"/>
      <c r="E18" s="41"/>
      <c r="F18" s="41"/>
      <c r="G18" s="41"/>
      <c r="H18" s="41"/>
      <c r="I18" s="41"/>
      <c r="J18" s="41"/>
      <c r="K18" s="41"/>
      <c r="L18" s="41"/>
      <c r="M18" s="41"/>
      <c r="N18" s="41"/>
      <c r="O18" s="41"/>
      <c r="P18" s="41"/>
      <c r="Q18" s="41"/>
      <c r="R18" s="41"/>
    </row>
    <row r="19" spans="1:18">
      <c r="A19" s="109" t="s">
        <v>7</v>
      </c>
      <c r="B19" t="s">
        <v>779</v>
      </c>
      <c r="C19" s="102"/>
    </row>
    <row r="20" spans="1:18">
      <c r="A20" s="109" t="s">
        <v>9</v>
      </c>
      <c r="B20" t="s">
        <v>985</v>
      </c>
      <c r="C20" s="102"/>
    </row>
    <row r="21" spans="1:18" ht="10.5" customHeight="1">
      <c r="A21" s="109" t="s">
        <v>11</v>
      </c>
      <c r="B21" s="103" t="s">
        <v>789</v>
      </c>
    </row>
    <row r="22" spans="1:18">
      <c r="A22" s="109" t="s">
        <v>13</v>
      </c>
      <c r="B22" t="s">
        <v>14</v>
      </c>
    </row>
    <row r="23" spans="1:18">
      <c r="A23" s="109" t="s">
        <v>15</v>
      </c>
      <c r="B23">
        <f>B28</f>
        <v>3.0000000000000001E-3</v>
      </c>
    </row>
    <row r="24" spans="1:18">
      <c r="A24" s="109" t="s">
        <v>16</v>
      </c>
      <c r="B24" t="s">
        <v>17</v>
      </c>
    </row>
    <row r="25" spans="1:18">
      <c r="A25" s="109" t="s">
        <v>18</v>
      </c>
      <c r="B25" t="s">
        <v>37</v>
      </c>
    </row>
    <row r="26" spans="1:18" ht="15.75">
      <c r="A26" s="110" t="s">
        <v>19</v>
      </c>
    </row>
    <row r="27" spans="1:18" ht="15.75">
      <c r="A27" s="110"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75">
      <c r="A28" s="22" t="s">
        <v>982</v>
      </c>
      <c r="B28">
        <v>3.0000000000000001E-3</v>
      </c>
      <c r="C28" t="s">
        <v>37</v>
      </c>
      <c r="D28" s="111" t="s">
        <v>2</v>
      </c>
      <c r="E28" t="s">
        <v>29</v>
      </c>
      <c r="F28" s="104" t="s">
        <v>14</v>
      </c>
      <c r="G28" t="s">
        <v>30</v>
      </c>
      <c r="H28">
        <v>1</v>
      </c>
      <c r="I28">
        <f>B28</f>
        <v>3.0000000000000001E-3</v>
      </c>
      <c r="J28" t="s">
        <v>31</v>
      </c>
      <c r="K28" t="s">
        <v>31</v>
      </c>
      <c r="L28" t="s">
        <v>31</v>
      </c>
      <c r="M28" t="s">
        <v>31</v>
      </c>
    </row>
    <row r="29" spans="1:18" ht="15.75">
      <c r="A29" s="61" t="s">
        <v>857</v>
      </c>
      <c r="B29" s="116">
        <f>R29</f>
        <v>3.1000000000000003E-3</v>
      </c>
      <c r="C29" t="s">
        <v>37</v>
      </c>
      <c r="D29" s="17" t="s">
        <v>40</v>
      </c>
      <c r="E29" t="s">
        <v>29</v>
      </c>
      <c r="F29" s="104" t="s">
        <v>58</v>
      </c>
      <c r="G29" t="s">
        <v>33</v>
      </c>
      <c r="H29">
        <v>2</v>
      </c>
      <c r="I29">
        <f t="shared" ref="I29:I31" si="2">LN(B29)</f>
        <v>-5.7763531674910364</v>
      </c>
      <c r="J29" s="151">
        <v>0.11236102527122109</v>
      </c>
      <c r="K29" t="s">
        <v>31</v>
      </c>
      <c r="L29" t="s">
        <v>31</v>
      </c>
      <c r="M29" t="s">
        <v>31</v>
      </c>
      <c r="O29" s="119" t="s">
        <v>575</v>
      </c>
      <c r="P29" s="120">
        <v>3.1</v>
      </c>
      <c r="Q29" t="s">
        <v>221</v>
      </c>
      <c r="R29">
        <f>P29*0.001</f>
        <v>3.1000000000000003E-3</v>
      </c>
    </row>
    <row r="30" spans="1:18" ht="15.75">
      <c r="A30" s="156" t="s">
        <v>75</v>
      </c>
      <c r="B30" s="113">
        <f>P30</f>
        <v>0.01</v>
      </c>
      <c r="C30" t="s">
        <v>39</v>
      </c>
      <c r="D30" s="17" t="s">
        <v>40</v>
      </c>
      <c r="E30" t="s">
        <v>29</v>
      </c>
      <c r="F30" s="104" t="s">
        <v>35</v>
      </c>
      <c r="G30" t="s">
        <v>33</v>
      </c>
      <c r="H30">
        <v>2</v>
      </c>
      <c r="I30">
        <f t="shared" si="2"/>
        <v>-4.6051701859880909</v>
      </c>
      <c r="J30" s="151">
        <v>0.11236102527122109</v>
      </c>
      <c r="K30" t="s">
        <v>31</v>
      </c>
      <c r="L30" t="s">
        <v>31</v>
      </c>
      <c r="M30" t="s">
        <v>31</v>
      </c>
      <c r="O30" s="119" t="s">
        <v>216</v>
      </c>
      <c r="P30" s="120">
        <v>0.01</v>
      </c>
    </row>
    <row r="31" spans="1:18" ht="15.75">
      <c r="A31" s="61" t="s">
        <v>861</v>
      </c>
      <c r="B31">
        <f>R31</f>
        <v>2.0000000000000001E-4</v>
      </c>
      <c r="C31" t="s">
        <v>37</v>
      </c>
      <c r="D31" s="17" t="s">
        <v>43</v>
      </c>
      <c r="E31" t="s">
        <v>862</v>
      </c>
      <c r="F31" s="104" t="s">
        <v>29</v>
      </c>
      <c r="G31" t="s">
        <v>45</v>
      </c>
      <c r="H31">
        <v>2</v>
      </c>
      <c r="I31">
        <f t="shared" si="2"/>
        <v>-8.5171931914162382</v>
      </c>
      <c r="J31" s="151">
        <v>0.11236102527122109</v>
      </c>
      <c r="K31" t="s">
        <v>31</v>
      </c>
      <c r="L31" t="s">
        <v>31</v>
      </c>
      <c r="M31" t="s">
        <v>31</v>
      </c>
      <c r="O31" s="154" t="s">
        <v>575</v>
      </c>
      <c r="P31" s="155">
        <v>0.2</v>
      </c>
      <c r="Q31" t="s">
        <v>221</v>
      </c>
      <c r="R31">
        <f>P31*0.001</f>
        <v>2.0000000000000001E-4</v>
      </c>
    </row>
    <row r="32" spans="1:18" ht="15.75">
      <c r="A32" s="107" t="s">
        <v>5</v>
      </c>
      <c r="B32" s="108" t="s">
        <v>984</v>
      </c>
      <c r="C32" s="39"/>
      <c r="D32" s="41"/>
      <c r="E32" s="41"/>
      <c r="F32" s="41"/>
      <c r="G32" s="41"/>
      <c r="H32" s="41"/>
      <c r="I32" s="41"/>
      <c r="J32" s="41"/>
      <c r="K32" s="41"/>
      <c r="L32" s="41"/>
      <c r="M32" s="41"/>
      <c r="N32" s="41"/>
      <c r="O32" s="41"/>
      <c r="P32" s="41"/>
      <c r="Q32" s="41"/>
      <c r="R32" s="41"/>
    </row>
    <row r="33" spans="1:20">
      <c r="A33" s="109" t="s">
        <v>7</v>
      </c>
      <c r="B33" t="s">
        <v>779</v>
      </c>
      <c r="C33" s="102"/>
    </row>
    <row r="34" spans="1:20">
      <c r="A34" s="109" t="s">
        <v>9</v>
      </c>
      <c r="B34" t="s">
        <v>986</v>
      </c>
      <c r="C34" s="102"/>
    </row>
    <row r="35" spans="1:20" ht="15.75" customHeight="1">
      <c r="A35" s="109" t="s">
        <v>11</v>
      </c>
      <c r="B35" s="103" t="s">
        <v>789</v>
      </c>
      <c r="T35" s="129" t="s">
        <v>987</v>
      </c>
    </row>
    <row r="36" spans="1:20">
      <c r="A36" s="109" t="s">
        <v>13</v>
      </c>
      <c r="B36" t="s">
        <v>14</v>
      </c>
      <c r="O36" t="s">
        <v>988</v>
      </c>
    </row>
    <row r="37" spans="1:20">
      <c r="A37" s="109" t="s">
        <v>15</v>
      </c>
      <c r="B37">
        <f>B42</f>
        <v>0.03</v>
      </c>
      <c r="O37">
        <f>0.03/0.16</f>
        <v>0.1875</v>
      </c>
      <c r="P37" t="s">
        <v>832</v>
      </c>
    </row>
    <row r="38" spans="1:20">
      <c r="A38" s="109" t="s">
        <v>16</v>
      </c>
      <c r="B38" t="s">
        <v>17</v>
      </c>
    </row>
    <row r="39" spans="1:20">
      <c r="A39" s="109" t="s">
        <v>18</v>
      </c>
      <c r="B39" t="s">
        <v>113</v>
      </c>
    </row>
    <row r="40" spans="1:20" ht="15.75">
      <c r="A40" s="110" t="s">
        <v>19</v>
      </c>
    </row>
    <row r="41" spans="1:20" ht="15.75">
      <c r="A41" s="110"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75">
      <c r="A42" s="22" t="s">
        <v>984</v>
      </c>
      <c r="B42">
        <v>0.03</v>
      </c>
      <c r="C42" t="s">
        <v>113</v>
      </c>
      <c r="D42" s="111" t="s">
        <v>2</v>
      </c>
      <c r="E42" t="s">
        <v>29</v>
      </c>
      <c r="F42" s="104" t="s">
        <v>14</v>
      </c>
      <c r="G42" t="s">
        <v>30</v>
      </c>
      <c r="H42">
        <v>1</v>
      </c>
      <c r="I42">
        <f t="shared" ref="I42:I43" si="3">B42</f>
        <v>0.03</v>
      </c>
      <c r="J42" t="s">
        <v>31</v>
      </c>
      <c r="K42" t="s">
        <v>31</v>
      </c>
      <c r="L42" t="s">
        <v>31</v>
      </c>
      <c r="M42" t="s">
        <v>31</v>
      </c>
    </row>
    <row r="43" spans="1:20" ht="15.75">
      <c r="A43" s="373" t="s">
        <v>989</v>
      </c>
      <c r="B43" s="157">
        <v>0.16</v>
      </c>
      <c r="C43" t="s">
        <v>37</v>
      </c>
      <c r="D43" s="111" t="s">
        <v>2</v>
      </c>
      <c r="E43" t="s">
        <v>29</v>
      </c>
      <c r="F43" s="104" t="s">
        <v>14</v>
      </c>
      <c r="G43" t="s">
        <v>33</v>
      </c>
      <c r="H43">
        <v>1</v>
      </c>
      <c r="I43">
        <f t="shared" si="3"/>
        <v>0.16</v>
      </c>
      <c r="J43" t="s">
        <v>31</v>
      </c>
      <c r="K43" t="s">
        <v>31</v>
      </c>
      <c r="L43" t="s">
        <v>31</v>
      </c>
      <c r="M43" t="s">
        <v>31</v>
      </c>
      <c r="O43" t="s">
        <v>113</v>
      </c>
      <c r="P43">
        <v>0.03</v>
      </c>
    </row>
    <row r="44" spans="1:20" ht="15.75">
      <c r="A44" s="156" t="s">
        <v>75</v>
      </c>
      <c r="B44" s="113">
        <f>P44</f>
        <v>0.06</v>
      </c>
      <c r="C44" t="s">
        <v>39</v>
      </c>
      <c r="D44" s="17" t="s">
        <v>40</v>
      </c>
      <c r="E44" t="s">
        <v>29</v>
      </c>
      <c r="F44" s="104" t="s">
        <v>35</v>
      </c>
      <c r="G44" t="s">
        <v>33</v>
      </c>
      <c r="H44">
        <v>2</v>
      </c>
      <c r="I44">
        <f t="shared" ref="I44" si="4">LN(B44)</f>
        <v>-2.8134107167600364</v>
      </c>
      <c r="J44" s="151">
        <v>7.2284161474004766E-2</v>
      </c>
      <c r="K44" t="s">
        <v>31</v>
      </c>
      <c r="L44" t="s">
        <v>31</v>
      </c>
      <c r="M44" t="s">
        <v>31</v>
      </c>
      <c r="O44" s="119" t="s">
        <v>216</v>
      </c>
      <c r="P44" s="120">
        <v>0.06</v>
      </c>
    </row>
    <row r="45" spans="1:20" ht="15.75">
      <c r="A45" s="61" t="s">
        <v>547</v>
      </c>
      <c r="B45">
        <f>R45</f>
        <v>1E-3</v>
      </c>
      <c r="C45" t="s">
        <v>37</v>
      </c>
      <c r="D45" s="17" t="s">
        <v>40</v>
      </c>
      <c r="E45" t="s">
        <v>29</v>
      </c>
      <c r="F45" s="104" t="s">
        <v>58</v>
      </c>
      <c r="G45" t="s">
        <v>33</v>
      </c>
      <c r="H45">
        <v>2</v>
      </c>
      <c r="I45">
        <f>LN(B45)</f>
        <v>-6.9077552789821368</v>
      </c>
      <c r="J45" s="151">
        <v>7.2284161474004766E-2</v>
      </c>
      <c r="K45" t="s">
        <v>31</v>
      </c>
      <c r="L45" t="s">
        <v>31</v>
      </c>
      <c r="M45" t="s">
        <v>31</v>
      </c>
      <c r="O45" s="119" t="s">
        <v>575</v>
      </c>
      <c r="P45" s="120">
        <v>1</v>
      </c>
      <c r="Q45" t="s">
        <v>221</v>
      </c>
      <c r="R45">
        <f>P45*0.001</f>
        <v>1E-3</v>
      </c>
    </row>
    <row r="46" spans="1:20" ht="15.75">
      <c r="A46" s="61" t="s">
        <v>866</v>
      </c>
      <c r="B46">
        <f>R46</f>
        <v>2E-3</v>
      </c>
      <c r="C46" t="s">
        <v>37</v>
      </c>
      <c r="D46" s="17" t="s">
        <v>40</v>
      </c>
      <c r="E46" t="s">
        <v>29</v>
      </c>
      <c r="F46" s="104" t="s">
        <v>35</v>
      </c>
      <c r="G46" t="s">
        <v>33</v>
      </c>
      <c r="H46">
        <v>2</v>
      </c>
      <c r="I46">
        <f>LN(B46)</f>
        <v>-6.2146080984221914</v>
      </c>
      <c r="J46" s="151">
        <v>7.2284161474004766E-2</v>
      </c>
      <c r="K46" t="s">
        <v>31</v>
      </c>
      <c r="L46" t="s">
        <v>31</v>
      </c>
      <c r="M46" t="s">
        <v>31</v>
      </c>
      <c r="O46" s="119" t="s">
        <v>575</v>
      </c>
      <c r="P46" s="120">
        <v>2</v>
      </c>
      <c r="Q46" t="s">
        <v>221</v>
      </c>
      <c r="R46">
        <f>P46*0.001</f>
        <v>2E-3</v>
      </c>
    </row>
    <row r="47" spans="1:20" ht="15.75">
      <c r="A47" s="61" t="s">
        <v>792</v>
      </c>
      <c r="B47">
        <f>P47</f>
        <v>2.1</v>
      </c>
      <c r="C47" t="s">
        <v>37</v>
      </c>
      <c r="D47" s="17" t="s">
        <v>40</v>
      </c>
      <c r="E47" t="s">
        <v>29</v>
      </c>
      <c r="F47" s="104" t="s">
        <v>741</v>
      </c>
      <c r="G47" t="s">
        <v>33</v>
      </c>
      <c r="H47">
        <v>2</v>
      </c>
      <c r="I47">
        <f>LN(B47)</f>
        <v>0.74193734472937733</v>
      </c>
      <c r="J47" s="151">
        <v>7.2284161474004766E-2</v>
      </c>
      <c r="K47" t="s">
        <v>31</v>
      </c>
      <c r="L47" t="s">
        <v>31</v>
      </c>
      <c r="M47" t="s">
        <v>31</v>
      </c>
      <c r="O47" s="119" t="s">
        <v>221</v>
      </c>
      <c r="P47" s="120">
        <v>2.1</v>
      </c>
    </row>
    <row r="48" spans="1:20" ht="15.75">
      <c r="A48" s="61" t="s">
        <v>226</v>
      </c>
      <c r="B48">
        <f>R48</f>
        <v>2.1000000000000003E-3</v>
      </c>
      <c r="C48" t="s">
        <v>42</v>
      </c>
      <c r="D48" s="17" t="s">
        <v>40</v>
      </c>
      <c r="E48" t="s">
        <v>29</v>
      </c>
      <c r="F48" s="104" t="s">
        <v>741</v>
      </c>
      <c r="G48" t="s">
        <v>33</v>
      </c>
      <c r="H48">
        <v>2</v>
      </c>
      <c r="I48">
        <f t="shared" ref="I48" si="5">LN(B48)</f>
        <v>-6.1658179342527593</v>
      </c>
      <c r="J48" s="151">
        <v>7.2284161474004766E-2</v>
      </c>
      <c r="K48" t="s">
        <v>31</v>
      </c>
      <c r="L48" t="s">
        <v>31</v>
      </c>
      <c r="M48" t="s">
        <v>31</v>
      </c>
      <c r="O48" s="154" t="s">
        <v>858</v>
      </c>
      <c r="P48" s="155">
        <v>2.1</v>
      </c>
      <c r="Q48" t="s">
        <v>219</v>
      </c>
      <c r="R48">
        <f>P48/1000</f>
        <v>2.1000000000000003E-3</v>
      </c>
    </row>
    <row r="49" spans="1:18" ht="15.75">
      <c r="A49" s="107" t="s">
        <v>5</v>
      </c>
      <c r="B49" s="108" t="s">
        <v>990</v>
      </c>
      <c r="C49" s="39"/>
      <c r="D49" s="41"/>
      <c r="E49" s="41"/>
      <c r="F49" s="41"/>
      <c r="G49" s="41"/>
      <c r="H49" s="41"/>
      <c r="I49" s="41"/>
      <c r="J49" s="41"/>
      <c r="K49" s="41"/>
      <c r="L49" s="41"/>
      <c r="M49" s="41"/>
      <c r="N49" s="41"/>
      <c r="O49" s="41"/>
      <c r="P49" s="41"/>
      <c r="Q49" s="41"/>
      <c r="R49" s="41"/>
    </row>
    <row r="50" spans="1:18">
      <c r="A50" s="109" t="s">
        <v>7</v>
      </c>
      <c r="B50" t="s">
        <v>779</v>
      </c>
      <c r="C50" s="102"/>
    </row>
    <row r="51" spans="1:18">
      <c r="A51" s="109" t="s">
        <v>9</v>
      </c>
      <c r="B51" t="s">
        <v>991</v>
      </c>
      <c r="C51" s="102"/>
    </row>
    <row r="52" spans="1:18" ht="10.5" customHeight="1">
      <c r="A52" s="109" t="s">
        <v>11</v>
      </c>
      <c r="B52" s="103" t="s">
        <v>789</v>
      </c>
    </row>
    <row r="53" spans="1:18">
      <c r="A53" s="109" t="s">
        <v>13</v>
      </c>
      <c r="B53" t="s">
        <v>14</v>
      </c>
    </row>
    <row r="54" spans="1:18">
      <c r="A54" s="109" t="s">
        <v>15</v>
      </c>
      <c r="B54" s="157">
        <f>B59</f>
        <v>4.0000000000000001E-3</v>
      </c>
    </row>
    <row r="55" spans="1:18">
      <c r="A55" s="109" t="s">
        <v>16</v>
      </c>
      <c r="B55" t="s">
        <v>17</v>
      </c>
    </row>
    <row r="56" spans="1:18">
      <c r="A56" s="109" t="s">
        <v>18</v>
      </c>
      <c r="B56" t="s">
        <v>37</v>
      </c>
    </row>
    <row r="57" spans="1:18" ht="15.75">
      <c r="A57" s="110" t="s">
        <v>19</v>
      </c>
    </row>
    <row r="58" spans="1:18" ht="15.75">
      <c r="A58" s="110"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75">
      <c r="A59" s="22" t="s">
        <v>990</v>
      </c>
      <c r="B59" s="157">
        <f>0.004</f>
        <v>4.0000000000000001E-3</v>
      </c>
      <c r="C59" t="s">
        <v>37</v>
      </c>
      <c r="D59" s="111" t="s">
        <v>2</v>
      </c>
      <c r="E59" t="s">
        <v>29</v>
      </c>
      <c r="F59" s="104" t="s">
        <v>14</v>
      </c>
      <c r="G59" t="s">
        <v>30</v>
      </c>
      <c r="H59">
        <v>1</v>
      </c>
      <c r="I59">
        <f>B59</f>
        <v>4.0000000000000001E-3</v>
      </c>
      <c r="J59" t="s">
        <v>31</v>
      </c>
      <c r="K59" t="s">
        <v>31</v>
      </c>
      <c r="L59" t="s">
        <v>31</v>
      </c>
      <c r="M59" t="s">
        <v>31</v>
      </c>
      <c r="O59" s="42"/>
      <c r="P59" s="112"/>
    </row>
    <row r="60" spans="1:18" ht="15.75">
      <c r="A60" s="61" t="s">
        <v>869</v>
      </c>
      <c r="B60" s="113">
        <f>2.2*0.001</f>
        <v>2.2000000000000001E-3</v>
      </c>
      <c r="C60" t="s">
        <v>37</v>
      </c>
      <c r="D60" s="17" t="s">
        <v>40</v>
      </c>
      <c r="E60" t="s">
        <v>29</v>
      </c>
      <c r="F60" s="104" t="s">
        <v>58</v>
      </c>
      <c r="G60" t="s">
        <v>33</v>
      </c>
      <c r="H60">
        <v>2</v>
      </c>
      <c r="I60">
        <f>LN(B60)</f>
        <v>-6.1192979186178666</v>
      </c>
      <c r="J60">
        <v>7.2284161474004766E-2</v>
      </c>
      <c r="K60" t="s">
        <v>31</v>
      </c>
      <c r="L60" t="s">
        <v>31</v>
      </c>
      <c r="M60" t="s">
        <v>31</v>
      </c>
      <c r="O60" s="119" t="s">
        <v>575</v>
      </c>
      <c r="P60" s="120">
        <v>5</v>
      </c>
      <c r="Q60" t="s">
        <v>221</v>
      </c>
      <c r="R60">
        <f>P60*0.001</f>
        <v>5.0000000000000001E-3</v>
      </c>
    </row>
    <row r="61" spans="1:18" ht="15.75">
      <c r="A61" s="156" t="s">
        <v>75</v>
      </c>
      <c r="B61" s="113">
        <v>0.25</v>
      </c>
      <c r="C61" t="s">
        <v>39</v>
      </c>
      <c r="D61" s="17" t="s">
        <v>40</v>
      </c>
      <c r="E61" t="s">
        <v>29</v>
      </c>
      <c r="F61" s="104" t="s">
        <v>35</v>
      </c>
      <c r="G61" t="s">
        <v>33</v>
      </c>
      <c r="H61">
        <v>2</v>
      </c>
      <c r="I61">
        <f t="shared" ref="I61:I62" si="6">LN(B61)</f>
        <v>-1.3862943611198906</v>
      </c>
      <c r="J61">
        <v>7.2284161474004766E-2</v>
      </c>
      <c r="K61" t="s">
        <v>31</v>
      </c>
      <c r="L61" t="s">
        <v>31</v>
      </c>
      <c r="M61" t="s">
        <v>31</v>
      </c>
      <c r="O61" s="119" t="s">
        <v>216</v>
      </c>
      <c r="P61" s="120">
        <v>0.02</v>
      </c>
    </row>
    <row r="62" spans="1:18" ht="15.75">
      <c r="A62" s="158" t="s">
        <v>783</v>
      </c>
      <c r="B62">
        <f>0.2*0.001</f>
        <v>2.0000000000000001E-4</v>
      </c>
      <c r="C62" t="s">
        <v>37</v>
      </c>
      <c r="D62" s="111" t="s">
        <v>2</v>
      </c>
      <c r="E62" t="s">
        <v>29</v>
      </c>
      <c r="F62" s="104" t="s">
        <v>741</v>
      </c>
      <c r="G62" t="s">
        <v>33</v>
      </c>
      <c r="H62">
        <v>2</v>
      </c>
      <c r="I62">
        <f t="shared" si="6"/>
        <v>-8.5171931914162382</v>
      </c>
      <c r="J62">
        <v>7.2284161474004766E-2</v>
      </c>
      <c r="K62" t="s">
        <v>31</v>
      </c>
      <c r="L62" t="s">
        <v>31</v>
      </c>
      <c r="M62" t="s">
        <v>31</v>
      </c>
    </row>
    <row r="63" spans="1:18" s="17" customFormat="1" ht="15.75">
      <c r="A63" s="396" t="s">
        <v>5</v>
      </c>
      <c r="B63" s="363" t="s">
        <v>989</v>
      </c>
      <c r="C63" s="364"/>
      <c r="D63" s="345"/>
      <c r="E63" s="345"/>
      <c r="F63" s="345"/>
      <c r="G63" s="345"/>
      <c r="H63" s="345"/>
      <c r="I63" s="345"/>
      <c r="J63" s="345"/>
      <c r="K63" s="345"/>
      <c r="L63" s="345"/>
      <c r="M63" s="345"/>
      <c r="N63" s="345"/>
      <c r="O63" s="414"/>
      <c r="P63" s="414"/>
      <c r="Q63" s="414"/>
      <c r="R63" s="414"/>
    </row>
    <row r="64" spans="1:18" s="17" customFormat="1" ht="15.75">
      <c r="A64" s="398" t="s">
        <v>7</v>
      </c>
      <c r="B64" s="46" t="s">
        <v>779</v>
      </c>
      <c r="C64" s="337"/>
      <c r="D64" s="46"/>
      <c r="E64" s="46"/>
      <c r="F64" s="46"/>
      <c r="G64" s="46"/>
      <c r="H64" s="46"/>
      <c r="I64" s="46"/>
      <c r="J64" s="46"/>
      <c r="K64" s="46"/>
      <c r="L64" s="46"/>
      <c r="M64" s="46"/>
      <c r="N64" s="46"/>
    </row>
    <row r="65" spans="1:16" s="17" customFormat="1" ht="15.75">
      <c r="A65" s="398" t="s">
        <v>9</v>
      </c>
      <c r="B65" s="46" t="s">
        <v>992</v>
      </c>
      <c r="C65" s="337"/>
      <c r="D65" s="46"/>
      <c r="E65" s="46"/>
      <c r="F65" s="46"/>
      <c r="G65" s="46"/>
      <c r="H65" s="46"/>
      <c r="I65" s="46"/>
      <c r="J65" s="46"/>
      <c r="K65" s="46"/>
      <c r="L65" s="46"/>
      <c r="M65" s="46"/>
      <c r="N65" s="46"/>
    </row>
    <row r="66" spans="1:16" s="17" customFormat="1" ht="10.5" customHeight="1">
      <c r="A66" s="398" t="s">
        <v>11</v>
      </c>
      <c r="B66" s="339" t="s">
        <v>789</v>
      </c>
      <c r="C66" s="46"/>
      <c r="D66" s="46"/>
      <c r="E66" s="46"/>
      <c r="F66" s="46"/>
      <c r="G66" s="46"/>
      <c r="H66" s="46"/>
      <c r="I66" s="46"/>
      <c r="J66" s="46"/>
      <c r="K66" s="46"/>
      <c r="L66" s="46"/>
      <c r="M66" s="46"/>
      <c r="N66" s="46"/>
    </row>
    <row r="67" spans="1:16" s="17" customFormat="1" ht="15.75">
      <c r="A67" s="398" t="s">
        <v>13</v>
      </c>
      <c r="B67" s="46" t="s">
        <v>14</v>
      </c>
      <c r="C67" s="46"/>
      <c r="D67" s="46"/>
      <c r="E67" s="46"/>
      <c r="F67" s="46"/>
      <c r="G67" s="46"/>
      <c r="H67" s="46"/>
      <c r="I67" s="46"/>
      <c r="J67" s="46"/>
      <c r="K67" s="46"/>
      <c r="L67" s="46"/>
      <c r="M67" s="46"/>
      <c r="N67" s="46"/>
    </row>
    <row r="68" spans="1:16" s="17" customFormat="1" ht="15.75">
      <c r="A68" s="398" t="s">
        <v>15</v>
      </c>
      <c r="B68" s="350">
        <v>0.25</v>
      </c>
      <c r="C68" s="46"/>
      <c r="D68" s="46"/>
      <c r="E68" s="46"/>
      <c r="F68" s="46"/>
      <c r="G68" s="46"/>
      <c r="H68" s="46"/>
      <c r="I68" s="46"/>
      <c r="J68" s="46"/>
      <c r="K68" s="46"/>
      <c r="L68" s="46"/>
      <c r="M68" s="46"/>
      <c r="N68" s="46"/>
    </row>
    <row r="69" spans="1:16" s="17" customFormat="1" ht="15.75">
      <c r="A69" s="398" t="s">
        <v>16</v>
      </c>
      <c r="B69" s="46" t="s">
        <v>17</v>
      </c>
      <c r="C69" s="46"/>
      <c r="D69" s="46"/>
      <c r="E69" s="46"/>
      <c r="F69" s="46"/>
      <c r="G69" s="46"/>
      <c r="H69" s="46"/>
      <c r="I69" s="46"/>
      <c r="J69" s="46"/>
      <c r="K69" s="46"/>
      <c r="L69" s="46"/>
      <c r="M69" s="46"/>
      <c r="N69" s="46"/>
    </row>
    <row r="70" spans="1:16" s="17" customFormat="1" ht="15.75">
      <c r="A70" s="398" t="s">
        <v>18</v>
      </c>
      <c r="B70" s="46" t="s">
        <v>37</v>
      </c>
      <c r="C70" s="46"/>
      <c r="D70" s="46"/>
      <c r="E70" s="46"/>
      <c r="F70" s="46"/>
      <c r="G70" s="46"/>
      <c r="H70" s="46"/>
      <c r="I70" s="46"/>
      <c r="J70" s="46"/>
      <c r="K70" s="46"/>
      <c r="L70" s="46"/>
      <c r="M70" s="46"/>
      <c r="N70" s="46"/>
    </row>
    <row r="71" spans="1:16" s="17" customFormat="1" ht="15.75">
      <c r="A71" s="399" t="s">
        <v>19</v>
      </c>
      <c r="B71" s="46"/>
      <c r="C71" s="46"/>
      <c r="D71" s="46"/>
      <c r="E71" s="46"/>
      <c r="F71" s="46"/>
      <c r="G71" s="46"/>
      <c r="H71" s="46"/>
      <c r="I71" s="46"/>
      <c r="J71" s="46"/>
      <c r="K71" s="46"/>
      <c r="L71" s="46"/>
      <c r="M71" s="46"/>
      <c r="N71" s="46"/>
    </row>
    <row r="72" spans="1:16" s="17" customFormat="1" ht="15.75">
      <c r="A72" s="399" t="s">
        <v>20</v>
      </c>
      <c r="B72" s="336" t="s">
        <v>21</v>
      </c>
      <c r="C72" s="336" t="s">
        <v>18</v>
      </c>
      <c r="D72" s="336" t="s">
        <v>22</v>
      </c>
      <c r="E72" s="336" t="s">
        <v>7</v>
      </c>
      <c r="F72" s="336" t="s">
        <v>13</v>
      </c>
      <c r="G72" s="336" t="s">
        <v>16</v>
      </c>
      <c r="H72" s="336" t="s">
        <v>23</v>
      </c>
      <c r="I72" s="336" t="s">
        <v>24</v>
      </c>
      <c r="J72" s="336" t="s">
        <v>25</v>
      </c>
      <c r="K72" s="336" t="s">
        <v>26</v>
      </c>
      <c r="L72" s="336" t="s">
        <v>27</v>
      </c>
      <c r="M72" s="336" t="s">
        <v>28</v>
      </c>
      <c r="N72" s="336" t="s">
        <v>11</v>
      </c>
    </row>
    <row r="73" spans="1:16" s="17" customFormat="1" ht="15.75">
      <c r="A73" s="373" t="s">
        <v>989</v>
      </c>
      <c r="B73" s="350">
        <v>0.25</v>
      </c>
      <c r="C73" s="46" t="s">
        <v>37</v>
      </c>
      <c r="D73" s="400" t="s">
        <v>2</v>
      </c>
      <c r="E73" s="46" t="s">
        <v>29</v>
      </c>
      <c r="F73" s="32" t="s">
        <v>14</v>
      </c>
      <c r="G73" s="46" t="s">
        <v>30</v>
      </c>
      <c r="H73" s="46">
        <v>1</v>
      </c>
      <c r="I73" s="350">
        <f>B73</f>
        <v>0.25</v>
      </c>
      <c r="J73" s="46" t="s">
        <v>31</v>
      </c>
      <c r="K73" s="46" t="s">
        <v>31</v>
      </c>
      <c r="L73" s="46" t="s">
        <v>31</v>
      </c>
      <c r="M73" s="46" t="s">
        <v>31</v>
      </c>
      <c r="N73" s="46"/>
      <c r="O73" s="44"/>
      <c r="P73" s="415"/>
    </row>
    <row r="74" spans="1:16" s="17" customFormat="1" ht="15.75">
      <c r="A74" s="61" t="s">
        <v>704</v>
      </c>
      <c r="B74" s="342">
        <v>0.25</v>
      </c>
      <c r="C74" s="46" t="s">
        <v>37</v>
      </c>
      <c r="D74" s="46" t="s">
        <v>40</v>
      </c>
      <c r="E74" s="46" t="s">
        <v>29</v>
      </c>
      <c r="F74" s="32" t="s">
        <v>58</v>
      </c>
      <c r="G74" s="46" t="s">
        <v>33</v>
      </c>
      <c r="H74" s="46">
        <v>1</v>
      </c>
      <c r="I74" s="350">
        <f t="shared" ref="I74:I75" si="7">B74</f>
        <v>0.25</v>
      </c>
      <c r="J74" s="46" t="s">
        <v>31</v>
      </c>
      <c r="K74" s="46" t="s">
        <v>31</v>
      </c>
      <c r="L74" s="46" t="s">
        <v>31</v>
      </c>
      <c r="M74" s="46" t="s">
        <v>31</v>
      </c>
      <c r="N74" s="46"/>
      <c r="O74" s="44"/>
      <c r="P74" s="415"/>
    </row>
    <row r="75" spans="1:16" s="17" customFormat="1" ht="15.75">
      <c r="A75" s="61" t="s">
        <v>871</v>
      </c>
      <c r="B75" s="342">
        <f>B74</f>
        <v>0.25</v>
      </c>
      <c r="C75" s="46" t="s">
        <v>37</v>
      </c>
      <c r="D75" s="46" t="s">
        <v>40</v>
      </c>
      <c r="E75" s="46" t="s">
        <v>29</v>
      </c>
      <c r="F75" s="32" t="s">
        <v>58</v>
      </c>
      <c r="G75" s="46" t="s">
        <v>33</v>
      </c>
      <c r="H75" s="46">
        <v>1</v>
      </c>
      <c r="I75" s="350">
        <f t="shared" si="7"/>
        <v>0.25</v>
      </c>
      <c r="J75" s="46" t="s">
        <v>31</v>
      </c>
      <c r="K75" s="46" t="s">
        <v>31</v>
      </c>
      <c r="L75" s="46" t="s">
        <v>31</v>
      </c>
      <c r="M75" s="46" t="s">
        <v>31</v>
      </c>
      <c r="N75" s="46"/>
      <c r="O75" s="44"/>
      <c r="P75" s="415"/>
    </row>
    <row r="76" spans="1:16" s="414" customFormat="1" ht="15.75">
      <c r="A76" s="362" t="s">
        <v>5</v>
      </c>
      <c r="B76" s="363" t="s">
        <v>993</v>
      </c>
      <c r="C76" s="364"/>
      <c r="D76" s="345"/>
      <c r="E76" s="345"/>
      <c r="F76" s="345"/>
      <c r="G76" s="345"/>
      <c r="H76" s="345"/>
      <c r="I76" s="345"/>
      <c r="J76" s="345"/>
      <c r="K76" s="345"/>
      <c r="L76" s="345"/>
      <c r="M76" s="345"/>
      <c r="N76" s="345"/>
    </row>
    <row r="77" spans="1:16" s="17" customFormat="1" ht="15.75">
      <c r="A77" s="338" t="s">
        <v>7</v>
      </c>
      <c r="B77" s="46" t="s">
        <v>779</v>
      </c>
      <c r="C77" s="337"/>
      <c r="D77" s="46"/>
      <c r="E77" s="46"/>
      <c r="F77" s="46"/>
      <c r="G77" s="46"/>
      <c r="H77" s="46"/>
      <c r="I77" s="46"/>
      <c r="J77" s="46"/>
      <c r="K77" s="46"/>
      <c r="L77" s="46"/>
      <c r="M77" s="46"/>
      <c r="N77" s="46"/>
    </row>
    <row r="78" spans="1:16" s="17" customFormat="1" ht="15.75">
      <c r="A78" s="416" t="s">
        <v>9</v>
      </c>
      <c r="B78" s="46" t="s">
        <v>994</v>
      </c>
      <c r="C78" s="337"/>
      <c r="D78" s="46"/>
      <c r="E78" s="46"/>
      <c r="F78" s="46"/>
      <c r="G78" s="46"/>
      <c r="H78" s="46"/>
      <c r="I78" s="46"/>
      <c r="J78" s="46"/>
      <c r="K78" s="46"/>
      <c r="L78" s="46"/>
      <c r="M78" s="46"/>
      <c r="N78" s="46"/>
    </row>
    <row r="79" spans="1:16" s="17" customFormat="1" ht="15.75" customHeight="1">
      <c r="A79" s="338" t="s">
        <v>11</v>
      </c>
      <c r="B79" s="339" t="s">
        <v>789</v>
      </c>
      <c r="C79" s="46"/>
      <c r="D79" s="46"/>
      <c r="E79" s="46"/>
      <c r="F79" s="46"/>
      <c r="G79" s="46"/>
      <c r="H79" s="46"/>
      <c r="I79" s="46"/>
      <c r="J79" s="46"/>
      <c r="K79" s="46"/>
      <c r="L79" s="46"/>
      <c r="M79" s="46"/>
      <c r="N79" s="46"/>
    </row>
    <row r="80" spans="1:16" s="17" customFormat="1" ht="15.75">
      <c r="A80" s="338" t="s">
        <v>13</v>
      </c>
      <c r="B80" s="46" t="s">
        <v>14</v>
      </c>
      <c r="C80" s="46"/>
      <c r="D80" s="46"/>
      <c r="E80" s="46"/>
      <c r="F80" s="46"/>
      <c r="G80" s="46"/>
      <c r="H80" s="46"/>
      <c r="I80" s="46"/>
      <c r="J80" s="46"/>
      <c r="K80" s="46"/>
      <c r="L80" s="46"/>
      <c r="M80" s="46"/>
      <c r="N80" s="46"/>
    </row>
    <row r="81" spans="1:19" s="17" customFormat="1" ht="15.75">
      <c r="A81" s="338" t="s">
        <v>15</v>
      </c>
      <c r="B81" s="417">
        <v>1.03</v>
      </c>
      <c r="C81" s="46"/>
      <c r="D81" s="46"/>
      <c r="E81" s="46"/>
      <c r="F81" s="46"/>
      <c r="G81" s="46"/>
      <c r="H81" s="46"/>
      <c r="I81" s="46"/>
      <c r="J81" s="46"/>
      <c r="K81" s="46"/>
      <c r="L81" s="46"/>
      <c r="M81" s="46"/>
      <c r="N81" s="46"/>
    </row>
    <row r="82" spans="1:19" s="17" customFormat="1" ht="15.75">
      <c r="A82" s="338" t="s">
        <v>16</v>
      </c>
      <c r="B82" s="46" t="s">
        <v>17</v>
      </c>
      <c r="C82" s="46"/>
      <c r="D82" s="46"/>
      <c r="E82" s="46"/>
      <c r="F82" s="46"/>
      <c r="G82" s="46"/>
      <c r="H82" s="46"/>
      <c r="I82" s="46"/>
      <c r="J82" s="46"/>
      <c r="K82" s="46"/>
      <c r="L82" s="46"/>
      <c r="M82" s="46"/>
      <c r="N82" s="46"/>
    </row>
    <row r="83" spans="1:19" s="17" customFormat="1" ht="15.75">
      <c r="A83" s="338" t="s">
        <v>18</v>
      </c>
      <c r="B83" s="46" t="s">
        <v>37</v>
      </c>
      <c r="C83" s="46"/>
      <c r="D83" s="46"/>
      <c r="E83" s="46"/>
      <c r="F83" s="46"/>
      <c r="G83" s="46"/>
      <c r="H83" s="46"/>
      <c r="I83" s="46"/>
      <c r="J83" s="46"/>
      <c r="K83" s="46"/>
      <c r="L83" s="46"/>
      <c r="M83" s="46"/>
      <c r="N83" s="46"/>
      <c r="S83" s="418"/>
    </row>
    <row r="84" spans="1:19" s="17" customFormat="1" ht="15.75">
      <c r="A84" s="335" t="s">
        <v>19</v>
      </c>
      <c r="B84" s="46"/>
      <c r="C84" s="46"/>
      <c r="D84" s="46"/>
      <c r="E84" s="46"/>
      <c r="F84" s="46"/>
      <c r="G84" s="46"/>
      <c r="H84" s="46"/>
      <c r="I84" s="46"/>
      <c r="J84" s="46"/>
      <c r="K84" s="46"/>
      <c r="L84" s="46"/>
      <c r="M84" s="46"/>
      <c r="N84" s="46"/>
    </row>
    <row r="85" spans="1:19" s="17" customFormat="1" ht="15.75">
      <c r="A85" s="336" t="s">
        <v>20</v>
      </c>
      <c r="B85" s="336" t="s">
        <v>21</v>
      </c>
      <c r="C85" s="336" t="s">
        <v>18</v>
      </c>
      <c r="D85" s="336" t="s">
        <v>22</v>
      </c>
      <c r="E85" s="336" t="s">
        <v>7</v>
      </c>
      <c r="F85" s="336" t="s">
        <v>13</v>
      </c>
      <c r="G85" s="336" t="s">
        <v>16</v>
      </c>
      <c r="H85" s="336" t="s">
        <v>23</v>
      </c>
      <c r="I85" s="336" t="s">
        <v>24</v>
      </c>
      <c r="J85" s="336" t="s">
        <v>25</v>
      </c>
      <c r="K85" s="336" t="s">
        <v>26</v>
      </c>
      <c r="L85" s="336" t="s">
        <v>27</v>
      </c>
      <c r="M85" s="336" t="s">
        <v>28</v>
      </c>
      <c r="N85" s="336" t="s">
        <v>11</v>
      </c>
    </row>
    <row r="86" spans="1:19" s="17" customFormat="1" ht="15.75">
      <c r="A86" s="46" t="s">
        <v>993</v>
      </c>
      <c r="B86" s="350">
        <v>1.03</v>
      </c>
      <c r="C86" s="46" t="s">
        <v>37</v>
      </c>
      <c r="D86" s="400" t="s">
        <v>2</v>
      </c>
      <c r="E86" s="46" t="s">
        <v>29</v>
      </c>
      <c r="F86" s="46" t="s">
        <v>14</v>
      </c>
      <c r="G86" s="46" t="s">
        <v>874</v>
      </c>
      <c r="H86" s="46">
        <v>1</v>
      </c>
      <c r="I86" s="350">
        <f>B86</f>
        <v>1.03</v>
      </c>
      <c r="J86" s="46" t="s">
        <v>31</v>
      </c>
      <c r="K86" s="46" t="s">
        <v>31</v>
      </c>
      <c r="L86" s="46" t="s">
        <v>31</v>
      </c>
      <c r="M86" s="46" t="s">
        <v>31</v>
      </c>
      <c r="N86" s="46"/>
      <c r="O86" s="44"/>
      <c r="P86" s="415"/>
    </row>
    <row r="87" spans="1:19" s="17" customFormat="1" ht="15.75">
      <c r="A87" s="47" t="s">
        <v>655</v>
      </c>
      <c r="B87" s="350">
        <v>1.03</v>
      </c>
      <c r="C87" s="46" t="s">
        <v>37</v>
      </c>
      <c r="D87" s="46" t="s">
        <v>40</v>
      </c>
      <c r="E87" s="46" t="s">
        <v>29</v>
      </c>
      <c r="F87" s="32" t="s">
        <v>58</v>
      </c>
      <c r="G87" s="46" t="s">
        <v>33</v>
      </c>
      <c r="H87" s="46">
        <v>1</v>
      </c>
      <c r="I87" s="350">
        <f t="shared" ref="I87:I89" si="8">B87</f>
        <v>1.03</v>
      </c>
      <c r="J87" s="46" t="s">
        <v>31</v>
      </c>
      <c r="K87" s="46" t="s">
        <v>31</v>
      </c>
      <c r="L87" s="46" t="s">
        <v>31</v>
      </c>
      <c r="M87" s="46" t="s">
        <v>31</v>
      </c>
      <c r="N87" s="46"/>
      <c r="O87" s="44"/>
      <c r="P87" s="415"/>
    </row>
    <row r="88" spans="1:19" s="17" customFormat="1" ht="15.75">
      <c r="A88" s="47" t="s">
        <v>624</v>
      </c>
      <c r="B88" s="350">
        <v>1.03</v>
      </c>
      <c r="C88" s="46" t="s">
        <v>37</v>
      </c>
      <c r="D88" s="46" t="s">
        <v>40</v>
      </c>
      <c r="E88" s="46" t="s">
        <v>29</v>
      </c>
      <c r="F88" s="32" t="s">
        <v>58</v>
      </c>
      <c r="G88" s="46" t="s">
        <v>33</v>
      </c>
      <c r="H88" s="46">
        <v>1</v>
      </c>
      <c r="I88" s="350">
        <f t="shared" si="8"/>
        <v>1.03</v>
      </c>
      <c r="J88" s="46" t="s">
        <v>31</v>
      </c>
      <c r="K88" s="46" t="s">
        <v>31</v>
      </c>
      <c r="L88" s="46" t="s">
        <v>31</v>
      </c>
      <c r="M88" s="46" t="s">
        <v>31</v>
      </c>
      <c r="N88" s="46"/>
      <c r="O88" s="44"/>
      <c r="P88" s="415"/>
    </row>
    <row r="89" spans="1:19" s="17" customFormat="1" ht="15.75">
      <c r="A89" s="47" t="s">
        <v>875</v>
      </c>
      <c r="B89" s="350">
        <v>1.03</v>
      </c>
      <c r="C89" s="46" t="s">
        <v>37</v>
      </c>
      <c r="D89" s="46" t="s">
        <v>40</v>
      </c>
      <c r="E89" s="46" t="s">
        <v>29</v>
      </c>
      <c r="F89" s="32" t="s">
        <v>35</v>
      </c>
      <c r="G89" s="46" t="s">
        <v>33</v>
      </c>
      <c r="H89" s="46">
        <v>1</v>
      </c>
      <c r="I89" s="350">
        <f t="shared" si="8"/>
        <v>1.03</v>
      </c>
      <c r="J89" s="46" t="s">
        <v>31</v>
      </c>
      <c r="K89" s="46" t="s">
        <v>31</v>
      </c>
      <c r="L89" s="46" t="s">
        <v>31</v>
      </c>
      <c r="M89" s="46" t="s">
        <v>31</v>
      </c>
      <c r="N89" s="46"/>
      <c r="O89" s="44"/>
      <c r="P89" s="415"/>
    </row>
    <row r="90" spans="1:19" s="17" customFormat="1" ht="15.75">
      <c r="A90" s="362" t="s">
        <v>5</v>
      </c>
      <c r="B90" s="363" t="s">
        <v>976</v>
      </c>
      <c r="C90" s="364"/>
      <c r="D90" s="414"/>
      <c r="E90" s="345"/>
      <c r="F90" s="345"/>
      <c r="G90" s="345"/>
      <c r="H90" s="345"/>
      <c r="I90" s="345"/>
      <c r="J90" s="345"/>
      <c r="K90" s="345"/>
      <c r="L90" s="345"/>
      <c r="M90" s="345"/>
      <c r="N90" s="46"/>
    </row>
    <row r="91" spans="1:19" s="17" customFormat="1" ht="15.75">
      <c r="A91" s="338" t="s">
        <v>7</v>
      </c>
      <c r="B91" s="46" t="s">
        <v>779</v>
      </c>
      <c r="C91" s="337"/>
      <c r="D91" s="46"/>
      <c r="E91" s="46"/>
      <c r="F91" s="46"/>
      <c r="G91" s="46"/>
      <c r="H91" s="46"/>
      <c r="I91" s="46"/>
      <c r="J91" s="46"/>
      <c r="K91" s="46"/>
      <c r="L91" s="46"/>
      <c r="M91" s="46"/>
      <c r="N91" s="46"/>
    </row>
    <row r="92" spans="1:19" s="17" customFormat="1" ht="15.75">
      <c r="A92" s="338" t="s">
        <v>9</v>
      </c>
      <c r="B92" s="373" t="s">
        <v>995</v>
      </c>
      <c r="C92" s="337"/>
      <c r="D92" s="46"/>
      <c r="E92" s="46"/>
      <c r="F92" s="46"/>
      <c r="G92" s="46"/>
      <c r="H92" s="46"/>
      <c r="I92" s="46"/>
      <c r="J92" s="46"/>
      <c r="K92" s="46"/>
      <c r="L92" s="46"/>
      <c r="M92" s="46"/>
      <c r="N92" s="46"/>
    </row>
    <row r="93" spans="1:19" s="17" customFormat="1" ht="15.75">
      <c r="A93" s="338" t="s">
        <v>11</v>
      </c>
      <c r="B93" s="339" t="s">
        <v>781</v>
      </c>
      <c r="C93" s="46"/>
      <c r="D93" s="46"/>
      <c r="E93" s="46"/>
      <c r="F93" s="46"/>
      <c r="G93" s="46"/>
      <c r="H93" s="46"/>
      <c r="I93" s="46"/>
      <c r="J93" s="46"/>
      <c r="K93" s="46"/>
      <c r="L93" s="46"/>
      <c r="M93" s="46"/>
      <c r="N93" s="46"/>
    </row>
    <row r="94" spans="1:19" s="17" customFormat="1" ht="15.75">
      <c r="A94" s="338" t="s">
        <v>13</v>
      </c>
      <c r="B94" s="32" t="s">
        <v>14</v>
      </c>
      <c r="C94" s="46"/>
      <c r="D94" s="46"/>
      <c r="E94" s="46"/>
      <c r="F94" s="46"/>
      <c r="G94" s="46"/>
      <c r="H94" s="46"/>
      <c r="I94" s="46"/>
      <c r="J94" s="46"/>
      <c r="K94" s="46"/>
      <c r="L94" s="46"/>
      <c r="M94" s="46"/>
      <c r="N94" s="46"/>
    </row>
    <row r="95" spans="1:19" s="17" customFormat="1" ht="15.75">
      <c r="A95" s="338" t="s">
        <v>15</v>
      </c>
      <c r="B95" s="46">
        <f>B100</f>
        <v>1.03</v>
      </c>
      <c r="C95" s="46"/>
      <c r="D95" s="46"/>
      <c r="E95" s="46"/>
      <c r="F95" s="46"/>
      <c r="G95" s="46"/>
      <c r="H95" s="46"/>
      <c r="I95" s="46"/>
      <c r="J95" s="46"/>
      <c r="K95" s="46"/>
      <c r="L95" s="46"/>
      <c r="M95" s="46"/>
      <c r="N95" s="46"/>
    </row>
    <row r="96" spans="1:19" s="17" customFormat="1" ht="15.75">
      <c r="A96" s="338" t="s">
        <v>16</v>
      </c>
      <c r="B96" s="46" t="s">
        <v>17</v>
      </c>
      <c r="C96" s="46"/>
      <c r="D96" s="46"/>
      <c r="E96" s="46"/>
      <c r="F96" s="46"/>
      <c r="G96" s="46"/>
      <c r="H96" s="46"/>
      <c r="I96" s="46"/>
      <c r="J96" s="46"/>
      <c r="K96" s="46"/>
      <c r="L96" s="46"/>
      <c r="M96" s="46"/>
      <c r="N96" s="46"/>
    </row>
    <row r="97" spans="1:14" s="17" customFormat="1" ht="15.75">
      <c r="A97" s="338" t="s">
        <v>18</v>
      </c>
      <c r="B97" s="46" t="s">
        <v>37</v>
      </c>
      <c r="C97" s="46"/>
      <c r="D97" s="46"/>
      <c r="E97" s="46"/>
      <c r="F97" s="46"/>
      <c r="G97" s="46"/>
      <c r="H97" s="46"/>
      <c r="I97" s="46"/>
      <c r="J97" s="46"/>
      <c r="K97" s="46"/>
      <c r="L97" s="46"/>
      <c r="M97" s="46"/>
      <c r="N97" s="46"/>
    </row>
    <row r="98" spans="1:14" s="17" customFormat="1" ht="15.75">
      <c r="A98" s="335" t="s">
        <v>19</v>
      </c>
      <c r="B98" s="46"/>
      <c r="C98" s="46"/>
      <c r="D98" s="46"/>
      <c r="E98" s="46"/>
      <c r="F98" s="46"/>
      <c r="G98" s="46"/>
      <c r="H98" s="46"/>
      <c r="I98" s="46"/>
      <c r="J98" s="46"/>
      <c r="K98" s="46"/>
      <c r="L98" s="46"/>
      <c r="M98" s="46"/>
      <c r="N98" s="46"/>
    </row>
    <row r="99" spans="1:14" s="17" customFormat="1" ht="15.75">
      <c r="A99" s="335" t="s">
        <v>20</v>
      </c>
      <c r="B99" s="336" t="s">
        <v>21</v>
      </c>
      <c r="C99" s="336" t="s">
        <v>18</v>
      </c>
      <c r="D99" s="336" t="s">
        <v>22</v>
      </c>
      <c r="E99" s="336" t="s">
        <v>7</v>
      </c>
      <c r="F99" s="336" t="s">
        <v>13</v>
      </c>
      <c r="G99" s="336" t="s">
        <v>16</v>
      </c>
      <c r="H99" s="336" t="s">
        <v>23</v>
      </c>
      <c r="I99" s="336" t="s">
        <v>24</v>
      </c>
      <c r="J99" s="336" t="s">
        <v>25</v>
      </c>
      <c r="K99" s="336" t="s">
        <v>26</v>
      </c>
      <c r="L99" s="336" t="s">
        <v>27</v>
      </c>
      <c r="M99" s="336" t="s">
        <v>28</v>
      </c>
      <c r="N99" s="336" t="s">
        <v>11</v>
      </c>
    </row>
    <row r="100" spans="1:14" s="17" customFormat="1" ht="15.75">
      <c r="A100" s="62" t="s">
        <v>976</v>
      </c>
      <c r="B100" s="62">
        <v>1.03</v>
      </c>
      <c r="C100" s="46" t="s">
        <v>37</v>
      </c>
      <c r="D100" s="46" t="s">
        <v>2</v>
      </c>
      <c r="E100" s="46" t="s">
        <v>29</v>
      </c>
      <c r="F100" s="32" t="s">
        <v>14</v>
      </c>
      <c r="G100" s="46" t="s">
        <v>30</v>
      </c>
      <c r="H100" s="46">
        <v>1</v>
      </c>
      <c r="I100" s="46">
        <f>B100</f>
        <v>1.03</v>
      </c>
      <c r="J100" s="46" t="s">
        <v>31</v>
      </c>
      <c r="K100" s="46" t="s">
        <v>31</v>
      </c>
      <c r="L100" s="46" t="s">
        <v>31</v>
      </c>
      <c r="M100" s="46" t="s">
        <v>31</v>
      </c>
      <c r="N100" s="46"/>
    </row>
    <row r="101" spans="1:14" s="17" customFormat="1" ht="15.75">
      <c r="A101" s="46" t="s">
        <v>993</v>
      </c>
      <c r="B101" s="62">
        <v>1.03</v>
      </c>
      <c r="C101" s="46" t="s">
        <v>37</v>
      </c>
      <c r="D101" s="46" t="s">
        <v>2</v>
      </c>
      <c r="E101" s="46" t="s">
        <v>29</v>
      </c>
      <c r="F101" s="32" t="s">
        <v>14</v>
      </c>
      <c r="G101" s="46" t="s">
        <v>33</v>
      </c>
      <c r="H101" s="46">
        <v>1</v>
      </c>
      <c r="I101" s="46">
        <f>B101</f>
        <v>1.03</v>
      </c>
      <c r="J101" s="46" t="s">
        <v>31</v>
      </c>
      <c r="K101" s="46" t="s">
        <v>31</v>
      </c>
      <c r="L101" s="46" t="s">
        <v>31</v>
      </c>
      <c r="M101" s="46" t="s">
        <v>31</v>
      </c>
      <c r="N101" s="46"/>
    </row>
    <row r="102" spans="1:14" s="17" customFormat="1" ht="15.75">
      <c r="A102" s="121" t="s">
        <v>877</v>
      </c>
      <c r="B102" s="46">
        <v>1.2E-2</v>
      </c>
      <c r="C102" s="46" t="s">
        <v>37</v>
      </c>
      <c r="D102" s="46" t="s">
        <v>40</v>
      </c>
      <c r="E102" s="46" t="s">
        <v>29</v>
      </c>
      <c r="F102" s="32" t="s">
        <v>128</v>
      </c>
      <c r="G102" s="46" t="s">
        <v>33</v>
      </c>
      <c r="H102" s="46">
        <v>1</v>
      </c>
      <c r="I102" s="46">
        <f t="shared" ref="I102:I104" si="9">B102</f>
        <v>1.2E-2</v>
      </c>
      <c r="J102" s="46" t="s">
        <v>31</v>
      </c>
      <c r="K102" s="46" t="s">
        <v>31</v>
      </c>
      <c r="L102" s="46" t="s">
        <v>31</v>
      </c>
      <c r="M102" s="46" t="s">
        <v>31</v>
      </c>
      <c r="N102" s="46"/>
    </row>
    <row r="103" spans="1:14" s="17" customFormat="1" ht="15.75">
      <c r="A103" s="121" t="s">
        <v>878</v>
      </c>
      <c r="B103" s="46">
        <v>0.28000000000000003</v>
      </c>
      <c r="C103" s="46" t="s">
        <v>113</v>
      </c>
      <c r="D103" s="46" t="s">
        <v>40</v>
      </c>
      <c r="E103" s="46" t="s">
        <v>29</v>
      </c>
      <c r="F103" s="32" t="s">
        <v>58</v>
      </c>
      <c r="G103" s="46" t="s">
        <v>33</v>
      </c>
      <c r="H103" s="46">
        <v>1</v>
      </c>
      <c r="I103" s="46">
        <f t="shared" si="9"/>
        <v>0.28000000000000003</v>
      </c>
      <c r="J103" s="46" t="s">
        <v>31</v>
      </c>
      <c r="K103" s="46" t="s">
        <v>31</v>
      </c>
      <c r="L103" s="46" t="s">
        <v>31</v>
      </c>
      <c r="M103" s="46" t="s">
        <v>31</v>
      </c>
      <c r="N103" s="46"/>
    </row>
    <row r="104" spans="1:14" s="17" customFormat="1" ht="15.75">
      <c r="A104" s="121" t="s">
        <v>593</v>
      </c>
      <c r="B104" s="46">
        <v>1.2E-2</v>
      </c>
      <c r="C104" s="46" t="s">
        <v>37</v>
      </c>
      <c r="D104" s="46" t="s">
        <v>40</v>
      </c>
      <c r="E104" s="46" t="s">
        <v>29</v>
      </c>
      <c r="F104" s="32" t="s">
        <v>58</v>
      </c>
      <c r="G104" s="46" t="s">
        <v>33</v>
      </c>
      <c r="H104" s="46">
        <v>1</v>
      </c>
      <c r="I104" s="46">
        <f t="shared" si="9"/>
        <v>1.2E-2</v>
      </c>
      <c r="J104" s="46" t="s">
        <v>31</v>
      </c>
      <c r="K104" s="46" t="s">
        <v>31</v>
      </c>
      <c r="L104" s="46" t="s">
        <v>31</v>
      </c>
      <c r="M104" s="46" t="s">
        <v>31</v>
      </c>
      <c r="N104" s="46"/>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F6740-C296-4B45-AC74-FCC73B27F1E0}">
  <sheetPr>
    <tabColor theme="8"/>
  </sheetPr>
  <dimension ref="A1:U47"/>
  <sheetViews>
    <sheetView zoomScale="70" zoomScaleNormal="70" workbookViewId="0">
      <selection activeCell="A36" sqref="A36"/>
    </sheetView>
  </sheetViews>
  <sheetFormatPr defaultRowHeight="15"/>
  <cols>
    <col min="1" max="1" width="62.140625" customWidth="1"/>
    <col min="2" max="2" width="13.5703125" customWidth="1"/>
    <col min="4" max="4" width="23.42578125" customWidth="1"/>
    <col min="7" max="7" width="12.7109375"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s="41" customFormat="1">
      <c r="A2" s="362" t="s">
        <v>5</v>
      </c>
      <c r="B2" s="363" t="s">
        <v>973</v>
      </c>
      <c r="C2" s="345"/>
      <c r="D2" s="345"/>
      <c r="E2" s="345"/>
      <c r="F2" s="345"/>
      <c r="G2" s="345"/>
      <c r="H2" s="345"/>
      <c r="I2" s="345"/>
      <c r="J2" s="345"/>
      <c r="K2" s="345"/>
      <c r="L2" s="345"/>
      <c r="M2" s="345"/>
      <c r="N2" s="345"/>
      <c r="O2" s="345"/>
      <c r="P2" s="345"/>
      <c r="Q2" s="345"/>
      <c r="R2" s="345"/>
      <c r="S2" s="345"/>
      <c r="T2" s="345"/>
      <c r="U2" s="345"/>
    </row>
    <row r="3" spans="1:21">
      <c r="A3" s="338" t="s">
        <v>7</v>
      </c>
      <c r="B3" s="46" t="s">
        <v>779</v>
      </c>
      <c r="C3" s="337"/>
      <c r="D3" s="46"/>
      <c r="E3" s="46"/>
      <c r="F3" s="46"/>
      <c r="G3" s="46"/>
      <c r="H3" s="46"/>
      <c r="I3" s="46"/>
      <c r="J3" s="46"/>
      <c r="K3" s="46"/>
      <c r="L3" s="46"/>
      <c r="M3" s="46"/>
      <c r="N3" s="46"/>
      <c r="O3" s="46"/>
      <c r="P3" s="46"/>
      <c r="Q3" s="46"/>
      <c r="R3" s="46"/>
      <c r="S3" s="46"/>
      <c r="T3" s="46"/>
      <c r="U3" s="46"/>
    </row>
    <row r="4" spans="1:21">
      <c r="A4" s="416" t="s">
        <v>9</v>
      </c>
      <c r="B4" s="46" t="s">
        <v>996</v>
      </c>
      <c r="C4" s="337"/>
      <c r="D4" s="46"/>
      <c r="E4" s="46"/>
      <c r="F4" s="46"/>
      <c r="G4" s="46"/>
      <c r="H4" s="46"/>
      <c r="I4" s="46"/>
      <c r="J4" s="46"/>
      <c r="K4" s="46"/>
      <c r="L4" s="46"/>
      <c r="M4" s="46"/>
      <c r="N4" s="46"/>
      <c r="O4" s="46"/>
      <c r="P4" s="46"/>
      <c r="Q4" s="46"/>
      <c r="R4" s="46"/>
      <c r="S4" s="46"/>
      <c r="T4" s="46"/>
      <c r="U4" s="46"/>
    </row>
    <row r="5" spans="1:21" ht="15.75" customHeight="1">
      <c r="A5" s="338" t="s">
        <v>11</v>
      </c>
      <c r="B5" s="339" t="s">
        <v>789</v>
      </c>
      <c r="C5" s="46"/>
      <c r="D5" s="46"/>
      <c r="E5" s="46"/>
      <c r="F5" s="46"/>
      <c r="G5" s="46"/>
      <c r="H5" s="46"/>
      <c r="I5" s="46"/>
      <c r="J5" s="46"/>
      <c r="K5" s="46"/>
      <c r="L5" s="46"/>
      <c r="M5" s="46"/>
      <c r="N5" s="46"/>
      <c r="O5" s="46"/>
      <c r="P5" s="46"/>
      <c r="Q5" s="46"/>
      <c r="R5" s="46"/>
      <c r="S5" s="46"/>
      <c r="T5" s="46"/>
      <c r="U5" s="46"/>
    </row>
    <row r="6" spans="1:21">
      <c r="A6" s="338" t="s">
        <v>13</v>
      </c>
      <c r="B6" s="46" t="s">
        <v>14</v>
      </c>
      <c r="C6" s="46"/>
      <c r="D6" s="46"/>
      <c r="E6" s="46"/>
      <c r="F6" s="46"/>
      <c r="G6" s="46"/>
      <c r="H6" s="46"/>
      <c r="I6" s="46"/>
      <c r="J6" s="46"/>
      <c r="K6" s="46"/>
      <c r="L6" s="46"/>
      <c r="M6" s="46"/>
      <c r="N6" s="46"/>
      <c r="O6" s="46"/>
      <c r="P6" s="46"/>
      <c r="Q6" s="46"/>
      <c r="R6" s="46"/>
      <c r="S6" s="46"/>
      <c r="T6" s="46"/>
      <c r="U6" s="46"/>
    </row>
    <row r="7" spans="1:21">
      <c r="A7" s="338" t="s">
        <v>15</v>
      </c>
      <c r="B7" s="407">
        <f>B12</f>
        <v>0.06</v>
      </c>
      <c r="C7" s="46"/>
      <c r="D7" s="46"/>
      <c r="E7" s="46"/>
      <c r="F7" s="46"/>
      <c r="G7" s="46"/>
      <c r="H7" s="46"/>
      <c r="I7" s="46"/>
      <c r="J7" s="46"/>
      <c r="K7" s="46"/>
      <c r="L7" s="46"/>
      <c r="M7" s="46"/>
      <c r="N7" s="46"/>
      <c r="O7" s="46"/>
      <c r="P7" s="46"/>
      <c r="Q7" s="46"/>
      <c r="R7" s="46"/>
      <c r="S7" s="46"/>
      <c r="T7" s="46"/>
      <c r="U7" s="46"/>
    </row>
    <row r="8" spans="1:21">
      <c r="A8" s="338" t="s">
        <v>16</v>
      </c>
      <c r="B8" s="46" t="s">
        <v>17</v>
      </c>
      <c r="C8" s="46"/>
      <c r="D8" s="46"/>
      <c r="E8" s="46"/>
      <c r="F8" s="46"/>
      <c r="G8" s="46"/>
      <c r="H8" s="46"/>
      <c r="I8" s="46"/>
      <c r="J8" s="46"/>
      <c r="K8" s="46"/>
      <c r="L8" s="46"/>
      <c r="M8" s="46"/>
      <c r="N8" s="46"/>
      <c r="O8" s="46"/>
      <c r="P8" s="46"/>
      <c r="Q8" s="46"/>
      <c r="R8" s="336" t="s">
        <v>880</v>
      </c>
      <c r="S8" s="46"/>
      <c r="T8" s="46"/>
      <c r="U8" s="46"/>
    </row>
    <row r="9" spans="1:21">
      <c r="A9" s="338" t="s">
        <v>18</v>
      </c>
      <c r="B9" s="46" t="s">
        <v>37</v>
      </c>
      <c r="C9" s="46"/>
      <c r="D9" s="46"/>
      <c r="E9" s="46"/>
      <c r="F9" s="46"/>
      <c r="G9" s="46"/>
      <c r="H9" s="46"/>
      <c r="I9" s="46"/>
      <c r="J9" s="46"/>
      <c r="K9" s="46"/>
      <c r="L9" s="46"/>
      <c r="M9" s="46"/>
      <c r="N9" s="46"/>
      <c r="O9" s="46"/>
      <c r="P9" s="46"/>
      <c r="Q9" s="46"/>
      <c r="R9" s="46" t="s">
        <v>881</v>
      </c>
      <c r="S9" s="46">
        <v>8900</v>
      </c>
      <c r="T9" s="46" t="s">
        <v>882</v>
      </c>
      <c r="U9" s="46"/>
    </row>
    <row r="10" spans="1:21">
      <c r="A10" s="335" t="s">
        <v>19</v>
      </c>
      <c r="B10" s="46"/>
      <c r="C10" s="46"/>
      <c r="D10" s="46"/>
      <c r="E10" s="46"/>
      <c r="F10" s="46"/>
      <c r="G10" s="46"/>
      <c r="H10" s="46"/>
      <c r="I10" s="46"/>
      <c r="J10" s="46"/>
      <c r="K10" s="46"/>
      <c r="L10" s="46"/>
      <c r="M10" s="46"/>
      <c r="N10" s="46"/>
      <c r="O10" s="46"/>
      <c r="P10" s="46"/>
      <c r="Q10" s="46"/>
      <c r="R10" s="46" t="s">
        <v>883</v>
      </c>
      <c r="S10" s="46">
        <f>5*10^-6</f>
        <v>4.9999999999999996E-6</v>
      </c>
      <c r="T10" s="46" t="s">
        <v>884</v>
      </c>
      <c r="U10" s="46"/>
    </row>
    <row r="11" spans="1:21">
      <c r="A11" s="336"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c r="O11" s="46"/>
      <c r="P11" s="46"/>
      <c r="Q11" s="46"/>
      <c r="R11" s="419" t="s">
        <v>885</v>
      </c>
      <c r="S11" s="420">
        <f>S10*S9</f>
        <v>4.4499999999999998E-2</v>
      </c>
      <c r="T11" s="421" t="s">
        <v>886</v>
      </c>
      <c r="U11" s="46"/>
    </row>
    <row r="12" spans="1:21">
      <c r="A12" s="46" t="s">
        <v>973</v>
      </c>
      <c r="B12" s="453">
        <v>0.06</v>
      </c>
      <c r="C12" s="46" t="s">
        <v>37</v>
      </c>
      <c r="D12" s="400" t="s">
        <v>2</v>
      </c>
      <c r="E12" s="46" t="s">
        <v>29</v>
      </c>
      <c r="F12" s="46" t="s">
        <v>14</v>
      </c>
      <c r="G12" s="46" t="s">
        <v>30</v>
      </c>
      <c r="H12" s="46">
        <v>1</v>
      </c>
      <c r="I12" s="407">
        <f>B12</f>
        <v>0.06</v>
      </c>
      <c r="J12" s="46" t="s">
        <v>31</v>
      </c>
      <c r="K12" s="46" t="s">
        <v>31</v>
      </c>
      <c r="L12" s="46" t="s">
        <v>31</v>
      </c>
      <c r="M12" s="46" t="s">
        <v>31</v>
      </c>
      <c r="N12" s="46"/>
      <c r="O12" s="393" t="s">
        <v>887</v>
      </c>
      <c r="P12" s="454">
        <f>B12*100</f>
        <v>6</v>
      </c>
      <c r="Q12" s="46"/>
      <c r="R12" s="46"/>
      <c r="S12" s="46"/>
      <c r="T12" s="46"/>
      <c r="U12" s="46"/>
    </row>
    <row r="13" spans="1:21">
      <c r="A13" s="46" t="s">
        <v>997</v>
      </c>
      <c r="B13" s="453">
        <v>0.06</v>
      </c>
      <c r="C13" s="46" t="s">
        <v>113</v>
      </c>
      <c r="D13" s="400" t="s">
        <v>2</v>
      </c>
      <c r="E13" s="46" t="s">
        <v>29</v>
      </c>
      <c r="F13" s="46" t="s">
        <v>14</v>
      </c>
      <c r="G13" s="46" t="s">
        <v>33</v>
      </c>
      <c r="H13" s="46">
        <v>1</v>
      </c>
      <c r="I13" s="407">
        <f t="shared" ref="I13:I14" si="0">B13</f>
        <v>0.06</v>
      </c>
      <c r="J13" s="46">
        <v>7.2284161474004766E-2</v>
      </c>
      <c r="K13" s="46" t="s">
        <v>31</v>
      </c>
      <c r="L13" s="46" t="s">
        <v>31</v>
      </c>
      <c r="M13" s="46" t="s">
        <v>31</v>
      </c>
      <c r="N13" s="46"/>
      <c r="O13" s="393" t="s">
        <v>887</v>
      </c>
      <c r="P13" s="454">
        <f>B13*100</f>
        <v>6</v>
      </c>
      <c r="Q13" s="46"/>
      <c r="R13" s="46" t="s">
        <v>548</v>
      </c>
      <c r="S13" s="46"/>
      <c r="T13" s="46"/>
      <c r="U13" s="402"/>
    </row>
    <row r="14" spans="1:21">
      <c r="A14" s="62" t="s">
        <v>990</v>
      </c>
      <c r="B14" s="412">
        <f>T14</f>
        <v>4.45E-3</v>
      </c>
      <c r="C14" s="46" t="s">
        <v>37</v>
      </c>
      <c r="D14" s="400" t="s">
        <v>2</v>
      </c>
      <c r="E14" s="46" t="s">
        <v>29</v>
      </c>
      <c r="F14" s="32" t="s">
        <v>14</v>
      </c>
      <c r="G14" s="46" t="s">
        <v>33</v>
      </c>
      <c r="H14" s="46">
        <v>1</v>
      </c>
      <c r="I14" s="407">
        <f t="shared" si="0"/>
        <v>4.45E-3</v>
      </c>
      <c r="J14" s="46">
        <v>7.2284161474004766E-2</v>
      </c>
      <c r="K14" s="46" t="s">
        <v>31</v>
      </c>
      <c r="L14" s="46" t="s">
        <v>31</v>
      </c>
      <c r="M14" s="46" t="s">
        <v>31</v>
      </c>
      <c r="N14" s="46"/>
      <c r="O14" s="424"/>
      <c r="P14" s="425"/>
      <c r="Q14" s="46"/>
      <c r="R14" s="422">
        <v>0.1</v>
      </c>
      <c r="S14" s="423" t="s">
        <v>605</v>
      </c>
      <c r="T14" s="422">
        <f>R14*S11</f>
        <v>4.45E-3</v>
      </c>
      <c r="U14" s="423" t="s">
        <v>221</v>
      </c>
    </row>
    <row r="15" spans="1:21">
      <c r="A15" s="338" t="s">
        <v>792</v>
      </c>
      <c r="B15" s="46">
        <f>Q15</f>
        <v>0.8</v>
      </c>
      <c r="C15" s="46" t="s">
        <v>37</v>
      </c>
      <c r="D15" s="46" t="s">
        <v>40</v>
      </c>
      <c r="E15" s="46" t="s">
        <v>29</v>
      </c>
      <c r="F15" s="32" t="s">
        <v>741</v>
      </c>
      <c r="G15" s="46" t="s">
        <v>33</v>
      </c>
      <c r="H15" s="46">
        <v>2</v>
      </c>
      <c r="I15" s="46">
        <f t="shared" ref="I15" si="1">LN(B15)</f>
        <v>-0.22314355131420971</v>
      </c>
      <c r="J15" s="46">
        <v>7.2284161474004766E-2</v>
      </c>
      <c r="K15" s="46" t="s">
        <v>31</v>
      </c>
      <c r="L15" s="46" t="s">
        <v>31</v>
      </c>
      <c r="M15" s="46" t="s">
        <v>31</v>
      </c>
      <c r="N15" s="46"/>
      <c r="O15" s="393" t="s">
        <v>221</v>
      </c>
      <c r="P15" s="406">
        <v>0.8</v>
      </c>
      <c r="Q15" s="46">
        <f>P15</f>
        <v>0.8</v>
      </c>
      <c r="R15" s="46"/>
      <c r="S15" s="46"/>
      <c r="T15" s="46"/>
      <c r="U15" s="46"/>
    </row>
    <row r="16" spans="1:21">
      <c r="A16" s="47" t="s">
        <v>869</v>
      </c>
      <c r="B16" s="455">
        <f t="shared" ref="B16:B17" si="2">Q16</f>
        <v>1E-13</v>
      </c>
      <c r="C16" s="46" t="s">
        <v>37</v>
      </c>
      <c r="D16" s="46" t="s">
        <v>40</v>
      </c>
      <c r="E16" s="46" t="s">
        <v>29</v>
      </c>
      <c r="F16" s="32" t="s">
        <v>58</v>
      </c>
      <c r="G16" s="46" t="s">
        <v>33</v>
      </c>
      <c r="H16" s="46">
        <v>2</v>
      </c>
      <c r="I16" s="46">
        <f>LN(B16)</f>
        <v>-29.933606208922594</v>
      </c>
      <c r="J16" s="46">
        <v>7.2284161474004766E-2</v>
      </c>
      <c r="K16" s="46" t="s">
        <v>31</v>
      </c>
      <c r="L16" s="46" t="s">
        <v>31</v>
      </c>
      <c r="M16" s="46" t="s">
        <v>31</v>
      </c>
      <c r="N16" s="46"/>
      <c r="O16" s="408" t="s">
        <v>523</v>
      </c>
      <c r="P16" s="431">
        <v>1E-10</v>
      </c>
      <c r="Q16" s="46">
        <f>0.001*P16</f>
        <v>1E-13</v>
      </c>
      <c r="R16" s="46"/>
      <c r="S16" s="46"/>
      <c r="T16" s="46"/>
      <c r="U16" s="46"/>
    </row>
    <row r="17" spans="1:21">
      <c r="A17" s="47" t="s">
        <v>226</v>
      </c>
      <c r="B17" s="46">
        <f t="shared" si="2"/>
        <v>8.0000000000000004E-4</v>
      </c>
      <c r="C17" s="46" t="s">
        <v>42</v>
      </c>
      <c r="D17" s="46" t="s">
        <v>40</v>
      </c>
      <c r="E17" s="46" t="s">
        <v>29</v>
      </c>
      <c r="F17" s="32" t="s">
        <v>741</v>
      </c>
      <c r="G17" s="46" t="s">
        <v>33</v>
      </c>
      <c r="H17" s="46">
        <v>2</v>
      </c>
      <c r="I17" s="46">
        <f t="shared" ref="I17" si="3">LN(B17)</f>
        <v>-7.1308988302963465</v>
      </c>
      <c r="J17" s="46">
        <v>7.2284161474004766E-2</v>
      </c>
      <c r="K17" s="46" t="s">
        <v>31</v>
      </c>
      <c r="L17" s="46" t="s">
        <v>31</v>
      </c>
      <c r="M17" s="46" t="s">
        <v>31</v>
      </c>
      <c r="N17" s="46"/>
      <c r="O17" s="410" t="s">
        <v>858</v>
      </c>
      <c r="P17" s="411">
        <v>0.8</v>
      </c>
      <c r="Q17" s="46">
        <f>0.001*P17</f>
        <v>8.0000000000000004E-4</v>
      </c>
      <c r="R17" s="46"/>
      <c r="S17" s="46"/>
      <c r="T17" s="46"/>
      <c r="U17" s="46"/>
    </row>
    <row r="18" spans="1:21" s="41" customFormat="1">
      <c r="A18" s="362" t="s">
        <v>5</v>
      </c>
      <c r="B18" s="363" t="s">
        <v>997</v>
      </c>
      <c r="C18" s="345"/>
      <c r="D18" s="345"/>
      <c r="E18" s="345"/>
      <c r="F18" s="345"/>
      <c r="G18" s="345"/>
      <c r="H18" s="345"/>
      <c r="I18" s="345"/>
      <c r="J18" s="345"/>
      <c r="K18" s="345"/>
      <c r="L18" s="345"/>
      <c r="M18" s="345"/>
      <c r="N18" s="345"/>
      <c r="O18" s="345"/>
      <c r="P18" s="345"/>
      <c r="Q18" s="345"/>
      <c r="R18" s="345"/>
      <c r="S18" s="345"/>
      <c r="T18" s="345"/>
      <c r="U18" s="345"/>
    </row>
    <row r="19" spans="1:21">
      <c r="A19" s="338" t="s">
        <v>7</v>
      </c>
      <c r="B19" s="46" t="s">
        <v>779</v>
      </c>
      <c r="C19" s="337"/>
      <c r="D19" s="46"/>
      <c r="E19" s="46"/>
      <c r="F19" s="46"/>
      <c r="G19" s="46"/>
      <c r="H19" s="46"/>
      <c r="I19" s="46"/>
      <c r="J19" s="46"/>
      <c r="K19" s="46"/>
      <c r="L19" s="46"/>
      <c r="M19" s="46"/>
      <c r="N19" s="46"/>
      <c r="O19" s="46"/>
      <c r="P19" s="46"/>
      <c r="Q19" s="46"/>
      <c r="R19" s="46"/>
      <c r="S19" s="46"/>
      <c r="T19" s="46"/>
      <c r="U19" s="46"/>
    </row>
    <row r="20" spans="1:21">
      <c r="A20" s="416" t="s">
        <v>9</v>
      </c>
      <c r="B20" s="46" t="s">
        <v>998</v>
      </c>
      <c r="C20" s="337"/>
      <c r="D20" s="46"/>
      <c r="E20" s="46"/>
      <c r="F20" s="46"/>
      <c r="G20" s="46"/>
      <c r="H20" s="46"/>
      <c r="I20" s="46"/>
      <c r="J20" s="46"/>
      <c r="K20" s="46"/>
      <c r="L20" s="46"/>
      <c r="M20" s="46"/>
      <c r="N20" s="46"/>
      <c r="O20" s="46"/>
      <c r="P20" s="46"/>
      <c r="Q20" s="46"/>
      <c r="R20" s="46"/>
      <c r="S20" s="46"/>
      <c r="T20" s="46"/>
      <c r="U20" s="46"/>
    </row>
    <row r="21" spans="1:21" ht="15.75" customHeight="1">
      <c r="A21" s="338" t="s">
        <v>11</v>
      </c>
      <c r="B21" s="339" t="s">
        <v>789</v>
      </c>
      <c r="C21" s="46"/>
      <c r="D21" s="46"/>
      <c r="E21" s="46"/>
      <c r="F21" s="46"/>
      <c r="G21" s="46"/>
      <c r="H21" s="46"/>
      <c r="I21" s="46"/>
      <c r="J21" s="46"/>
      <c r="K21" s="46"/>
      <c r="L21" s="46"/>
      <c r="M21" s="46"/>
      <c r="N21" s="46"/>
      <c r="O21" s="46"/>
      <c r="P21" s="46"/>
      <c r="Q21" s="46"/>
      <c r="R21" s="46"/>
      <c r="S21" s="46"/>
      <c r="T21" s="46"/>
      <c r="U21" s="46"/>
    </row>
    <row r="22" spans="1:21">
      <c r="A22" s="338" t="s">
        <v>13</v>
      </c>
      <c r="B22" s="46" t="s">
        <v>14</v>
      </c>
      <c r="C22" s="46"/>
      <c r="D22" s="46"/>
      <c r="E22" s="46"/>
      <c r="F22" s="46"/>
      <c r="G22" s="46"/>
      <c r="H22" s="46"/>
      <c r="I22" s="46"/>
      <c r="J22" s="46"/>
      <c r="K22" s="46"/>
      <c r="L22" s="46"/>
      <c r="M22" s="46"/>
      <c r="N22" s="46"/>
      <c r="O22" s="46"/>
      <c r="P22" s="46"/>
      <c r="Q22" s="46"/>
      <c r="R22" s="46"/>
      <c r="S22" s="46"/>
      <c r="T22" s="46"/>
      <c r="U22" s="46"/>
    </row>
    <row r="23" spans="1:21">
      <c r="A23" s="338" t="s">
        <v>15</v>
      </c>
      <c r="B23" s="407">
        <v>0.6</v>
      </c>
      <c r="C23" s="46"/>
      <c r="D23" s="46"/>
      <c r="E23" s="46"/>
      <c r="F23" s="46"/>
      <c r="G23" s="46"/>
      <c r="H23" s="46"/>
      <c r="I23" s="46"/>
      <c r="J23" s="46"/>
      <c r="K23" s="46"/>
      <c r="L23" s="46"/>
      <c r="M23" s="46"/>
      <c r="N23" s="46"/>
      <c r="O23" s="46"/>
      <c r="P23" s="46"/>
      <c r="Q23" s="46"/>
      <c r="R23" s="46"/>
      <c r="S23" s="46"/>
      <c r="T23" s="46"/>
      <c r="U23" s="46"/>
    </row>
    <row r="24" spans="1:21">
      <c r="A24" s="338" t="s">
        <v>16</v>
      </c>
      <c r="B24" s="46" t="s">
        <v>17</v>
      </c>
      <c r="C24" s="46"/>
      <c r="D24" s="46"/>
      <c r="E24" s="46"/>
      <c r="F24" s="46"/>
      <c r="G24" s="46"/>
      <c r="H24" s="46"/>
      <c r="I24" s="46"/>
      <c r="J24" s="46"/>
      <c r="K24" s="46"/>
      <c r="L24" s="46"/>
      <c r="M24" s="46"/>
      <c r="N24" s="46"/>
      <c r="O24" s="46"/>
      <c r="P24" s="46"/>
      <c r="Q24" s="46"/>
      <c r="R24" s="46"/>
      <c r="S24" s="46"/>
      <c r="T24" s="46"/>
      <c r="U24" s="46"/>
    </row>
    <row r="25" spans="1:21">
      <c r="A25" s="338" t="s">
        <v>18</v>
      </c>
      <c r="B25" s="46" t="s">
        <v>113</v>
      </c>
      <c r="C25" s="46"/>
      <c r="D25" s="46"/>
      <c r="E25" s="46"/>
      <c r="F25" s="46"/>
      <c r="G25" s="46"/>
      <c r="H25" s="46"/>
      <c r="I25" s="46"/>
      <c r="J25" s="46"/>
      <c r="K25" s="46"/>
      <c r="L25" s="46"/>
      <c r="M25" s="46"/>
      <c r="N25" s="46"/>
      <c r="O25" s="46"/>
      <c r="P25" s="46"/>
      <c r="Q25" s="46"/>
      <c r="R25" s="46"/>
      <c r="S25" s="46"/>
      <c r="T25" s="46"/>
      <c r="U25" s="46"/>
    </row>
    <row r="26" spans="1:21">
      <c r="A26" s="335" t="s">
        <v>19</v>
      </c>
      <c r="B26" s="46"/>
      <c r="C26" s="46"/>
      <c r="D26" s="46"/>
      <c r="E26" s="46"/>
      <c r="F26" s="46"/>
      <c r="G26" s="46"/>
      <c r="H26" s="46"/>
      <c r="I26" s="46"/>
      <c r="J26" s="46"/>
      <c r="K26" s="46"/>
      <c r="L26" s="46"/>
      <c r="M26" s="46"/>
      <c r="N26" s="46"/>
      <c r="O26" s="46"/>
      <c r="P26" s="46"/>
      <c r="Q26" s="46"/>
      <c r="R26" s="46"/>
      <c r="S26" s="46"/>
      <c r="T26" s="46"/>
      <c r="U26" s="46"/>
    </row>
    <row r="27" spans="1:21">
      <c r="A27" s="336" t="s">
        <v>20</v>
      </c>
      <c r="B27" s="336" t="s">
        <v>21</v>
      </c>
      <c r="C27" s="336" t="s">
        <v>18</v>
      </c>
      <c r="D27" s="336" t="s">
        <v>22</v>
      </c>
      <c r="E27" s="336" t="s">
        <v>7</v>
      </c>
      <c r="F27" s="336" t="s">
        <v>13</v>
      </c>
      <c r="G27" s="336" t="s">
        <v>16</v>
      </c>
      <c r="H27" s="336" t="s">
        <v>23</v>
      </c>
      <c r="I27" s="336" t="s">
        <v>24</v>
      </c>
      <c r="J27" s="336" t="s">
        <v>25</v>
      </c>
      <c r="K27" s="336" t="s">
        <v>26</v>
      </c>
      <c r="L27" s="336" t="s">
        <v>27</v>
      </c>
      <c r="M27" s="336" t="s">
        <v>28</v>
      </c>
      <c r="N27" s="336" t="s">
        <v>11</v>
      </c>
      <c r="O27" s="46"/>
      <c r="P27" s="46"/>
      <c r="Q27" s="46"/>
      <c r="R27" s="46"/>
      <c r="S27" s="46"/>
      <c r="T27" s="407"/>
      <c r="U27" s="46"/>
    </row>
    <row r="28" spans="1:21">
      <c r="A28" s="46" t="s">
        <v>997</v>
      </c>
      <c r="B28" s="407">
        <v>0.06</v>
      </c>
      <c r="C28" s="46" t="s">
        <v>113</v>
      </c>
      <c r="D28" s="400" t="s">
        <v>2</v>
      </c>
      <c r="E28" s="46" t="s">
        <v>29</v>
      </c>
      <c r="F28" s="46" t="s">
        <v>14</v>
      </c>
      <c r="G28" s="46" t="s">
        <v>30</v>
      </c>
      <c r="H28" s="46">
        <v>1</v>
      </c>
      <c r="I28" s="407">
        <f t="shared" ref="I28:I29" si="4">B28</f>
        <v>0.06</v>
      </c>
      <c r="J28" s="46">
        <v>7.2284161474004766E-2</v>
      </c>
      <c r="K28" s="46" t="s">
        <v>31</v>
      </c>
      <c r="L28" s="46" t="s">
        <v>31</v>
      </c>
      <c r="M28" s="46" t="s">
        <v>31</v>
      </c>
      <c r="N28" s="46"/>
      <c r="O28" s="393" t="s">
        <v>887</v>
      </c>
      <c r="P28" s="406">
        <f>B28*100</f>
        <v>6</v>
      </c>
      <c r="Q28" s="46"/>
      <c r="R28" s="46"/>
      <c r="S28" s="46"/>
      <c r="T28" s="46"/>
      <c r="U28" s="46"/>
    </row>
    <row r="29" spans="1:21">
      <c r="A29" s="46" t="s">
        <v>999</v>
      </c>
      <c r="B29" s="407">
        <v>0.06</v>
      </c>
      <c r="C29" s="46" t="s">
        <v>113</v>
      </c>
      <c r="D29" s="400" t="s">
        <v>2</v>
      </c>
      <c r="E29" s="46" t="s">
        <v>29</v>
      </c>
      <c r="F29" s="46" t="s">
        <v>14</v>
      </c>
      <c r="G29" s="46" t="s">
        <v>33</v>
      </c>
      <c r="H29" s="46">
        <v>1</v>
      </c>
      <c r="I29" s="407">
        <f t="shared" si="4"/>
        <v>0.06</v>
      </c>
      <c r="J29" s="46">
        <v>7.2284161474004766E-2</v>
      </c>
      <c r="K29" s="46" t="s">
        <v>31</v>
      </c>
      <c r="L29" s="46" t="s">
        <v>31</v>
      </c>
      <c r="M29" s="46" t="s">
        <v>31</v>
      </c>
      <c r="N29" s="46"/>
      <c r="O29" s="46"/>
      <c r="P29" s="46"/>
      <c r="Q29" s="46"/>
      <c r="R29" s="46"/>
      <c r="S29" s="46"/>
      <c r="T29" s="46"/>
      <c r="U29" s="46"/>
    </row>
    <row r="30" spans="1:21">
      <c r="A30" s="338" t="s">
        <v>75</v>
      </c>
      <c r="B30" s="342">
        <f>P30</f>
        <v>0.06</v>
      </c>
      <c r="C30" s="46" t="s">
        <v>39</v>
      </c>
      <c r="D30" s="46" t="s">
        <v>40</v>
      </c>
      <c r="E30" s="46" t="s">
        <v>29</v>
      </c>
      <c r="F30" s="32" t="s">
        <v>35</v>
      </c>
      <c r="G30" s="46" t="s">
        <v>33</v>
      </c>
      <c r="H30" s="46">
        <v>2</v>
      </c>
      <c r="I30" s="46">
        <f t="shared" ref="I30:I31" si="5">LN(B30)</f>
        <v>-2.8134107167600364</v>
      </c>
      <c r="J30" s="46">
        <v>7.2284161474004766E-2</v>
      </c>
      <c r="K30" s="46" t="s">
        <v>31</v>
      </c>
      <c r="L30" s="46" t="s">
        <v>31</v>
      </c>
      <c r="M30" s="46" t="s">
        <v>31</v>
      </c>
      <c r="N30" s="46"/>
      <c r="O30" s="393" t="s">
        <v>216</v>
      </c>
      <c r="P30" s="406">
        <v>0.06</v>
      </c>
      <c r="Q30" s="46"/>
      <c r="R30" s="46"/>
      <c r="S30" s="46"/>
      <c r="T30" s="46"/>
      <c r="U30" s="46"/>
    </row>
    <row r="31" spans="1:21">
      <c r="A31" s="47" t="s">
        <v>547</v>
      </c>
      <c r="B31" s="46">
        <f>R31</f>
        <v>1E-3</v>
      </c>
      <c r="C31" s="407" t="s">
        <v>37</v>
      </c>
      <c r="D31" s="46" t="s">
        <v>40</v>
      </c>
      <c r="E31" s="46" t="s">
        <v>29</v>
      </c>
      <c r="F31" s="46" t="s">
        <v>58</v>
      </c>
      <c r="G31" s="46" t="s">
        <v>33</v>
      </c>
      <c r="H31" s="46">
        <v>2</v>
      </c>
      <c r="I31" s="46">
        <f t="shared" si="5"/>
        <v>-6.9077552789821368</v>
      </c>
      <c r="J31" s="46">
        <v>7.2284161474004766E-2</v>
      </c>
      <c r="K31" s="46" t="s">
        <v>31</v>
      </c>
      <c r="L31" s="46" t="s">
        <v>31</v>
      </c>
      <c r="M31" s="46" t="s">
        <v>31</v>
      </c>
      <c r="N31" s="46"/>
      <c r="O31" s="393" t="s">
        <v>575</v>
      </c>
      <c r="P31" s="406">
        <v>1</v>
      </c>
      <c r="Q31" s="46" t="s">
        <v>221</v>
      </c>
      <c r="R31" s="46">
        <f>P31*0.001</f>
        <v>1E-3</v>
      </c>
      <c r="S31" s="46"/>
      <c r="T31" s="46"/>
      <c r="U31" s="46"/>
    </row>
    <row r="32" spans="1:21">
      <c r="A32" s="61" t="s">
        <v>866</v>
      </c>
      <c r="B32" s="46">
        <f t="shared" ref="B32:B33" si="6">R32</f>
        <v>2E-3</v>
      </c>
      <c r="C32" s="46" t="s">
        <v>37</v>
      </c>
      <c r="D32" s="46" t="s">
        <v>40</v>
      </c>
      <c r="E32" s="46" t="s">
        <v>29</v>
      </c>
      <c r="F32" s="32" t="s">
        <v>35</v>
      </c>
      <c r="G32" s="46" t="s">
        <v>33</v>
      </c>
      <c r="H32" s="46">
        <v>2</v>
      </c>
      <c r="I32" s="46">
        <f>LN(B32)</f>
        <v>-6.2146080984221914</v>
      </c>
      <c r="J32" s="46">
        <v>7.2284161474004766E-2</v>
      </c>
      <c r="K32" s="46" t="s">
        <v>31</v>
      </c>
      <c r="L32" s="46" t="s">
        <v>31</v>
      </c>
      <c r="M32" s="46" t="s">
        <v>31</v>
      </c>
      <c r="N32" s="46"/>
      <c r="O32" s="393" t="s">
        <v>575</v>
      </c>
      <c r="P32" s="406">
        <v>2</v>
      </c>
      <c r="Q32" s="46" t="s">
        <v>221</v>
      </c>
      <c r="R32" s="46">
        <f>P32*0.001</f>
        <v>2E-3</v>
      </c>
      <c r="S32" s="46"/>
      <c r="T32" s="46"/>
      <c r="U32" s="46"/>
    </row>
    <row r="33" spans="1:21">
      <c r="A33" s="338" t="s">
        <v>792</v>
      </c>
      <c r="B33" s="46">
        <f t="shared" si="6"/>
        <v>2.1</v>
      </c>
      <c r="C33" s="46" t="s">
        <v>37</v>
      </c>
      <c r="D33" s="46" t="s">
        <v>40</v>
      </c>
      <c r="E33" s="46" t="s">
        <v>29</v>
      </c>
      <c r="F33" s="32" t="s">
        <v>741</v>
      </c>
      <c r="G33" s="46" t="s">
        <v>33</v>
      </c>
      <c r="H33" s="46">
        <v>2</v>
      </c>
      <c r="I33" s="46">
        <f t="shared" ref="I33:I34" si="7">LN(B33)</f>
        <v>0.74193734472937733</v>
      </c>
      <c r="J33" s="46">
        <v>7.2284161474004766E-2</v>
      </c>
      <c r="K33" s="46" t="s">
        <v>31</v>
      </c>
      <c r="L33" s="46" t="s">
        <v>31</v>
      </c>
      <c r="M33" s="46" t="s">
        <v>31</v>
      </c>
      <c r="N33" s="46"/>
      <c r="O33" s="393" t="s">
        <v>221</v>
      </c>
      <c r="P33" s="406">
        <v>2.1</v>
      </c>
      <c r="Q33" s="46" t="s">
        <v>221</v>
      </c>
      <c r="R33" s="46">
        <f>P33</f>
        <v>2.1</v>
      </c>
      <c r="S33" s="46"/>
      <c r="T33" s="46"/>
      <c r="U33" s="46"/>
    </row>
    <row r="34" spans="1:21">
      <c r="A34" s="47" t="s">
        <v>226</v>
      </c>
      <c r="B34" s="46">
        <f>R34</f>
        <v>2.1000000000000003E-3</v>
      </c>
      <c r="C34" s="46" t="s">
        <v>42</v>
      </c>
      <c r="D34" s="46" t="s">
        <v>40</v>
      </c>
      <c r="E34" s="46" t="s">
        <v>29</v>
      </c>
      <c r="F34" s="32" t="s">
        <v>741</v>
      </c>
      <c r="G34" s="46" t="s">
        <v>33</v>
      </c>
      <c r="H34" s="46">
        <v>2</v>
      </c>
      <c r="I34" s="46">
        <f t="shared" si="7"/>
        <v>-6.1658179342527593</v>
      </c>
      <c r="J34" s="46">
        <v>7.2284161474004766E-2</v>
      </c>
      <c r="K34" s="46" t="s">
        <v>31</v>
      </c>
      <c r="L34" s="46" t="s">
        <v>31</v>
      </c>
      <c r="M34" s="46" t="s">
        <v>31</v>
      </c>
      <c r="N34" s="46"/>
      <c r="O34" s="410" t="s">
        <v>858</v>
      </c>
      <c r="P34" s="411">
        <v>2.1</v>
      </c>
      <c r="Q34" s="46" t="s">
        <v>219</v>
      </c>
      <c r="R34" s="46">
        <f>0.001*P34</f>
        <v>2.1000000000000003E-3</v>
      </c>
      <c r="S34" s="46"/>
      <c r="T34" s="46"/>
      <c r="U34" s="46"/>
    </row>
    <row r="35" spans="1:21" s="41" customFormat="1">
      <c r="A35" s="362" t="s">
        <v>5</v>
      </c>
      <c r="B35" s="363" t="s">
        <v>999</v>
      </c>
      <c r="C35" s="345"/>
      <c r="D35" s="345"/>
      <c r="E35" s="345"/>
      <c r="F35" s="345"/>
      <c r="G35" s="345"/>
      <c r="H35" s="345"/>
      <c r="I35" s="345"/>
      <c r="J35" s="345"/>
      <c r="K35" s="345"/>
      <c r="L35" s="345"/>
      <c r="M35" s="345"/>
      <c r="N35" s="345"/>
      <c r="O35" s="345"/>
      <c r="P35" s="345"/>
      <c r="Q35" s="345"/>
      <c r="R35" s="345"/>
      <c r="S35" s="345"/>
      <c r="T35" s="345"/>
      <c r="U35" s="345"/>
    </row>
    <row r="36" spans="1:21">
      <c r="A36" s="338" t="s">
        <v>7</v>
      </c>
      <c r="B36" s="46" t="s">
        <v>779</v>
      </c>
      <c r="C36" s="337"/>
      <c r="D36" s="46"/>
      <c r="E36" s="46"/>
      <c r="F36" s="46"/>
      <c r="G36" s="46"/>
      <c r="H36" s="46"/>
      <c r="I36" s="46"/>
      <c r="J36" s="46"/>
      <c r="K36" s="46"/>
      <c r="L36" s="46"/>
      <c r="M36" s="46"/>
      <c r="N36" s="46"/>
      <c r="O36" s="46"/>
      <c r="P36" s="46"/>
      <c r="Q36" s="46"/>
      <c r="R36" s="46"/>
      <c r="S36" s="46"/>
      <c r="T36" s="46"/>
      <c r="U36" s="46"/>
    </row>
    <row r="37" spans="1:21">
      <c r="A37" s="416" t="s">
        <v>9</v>
      </c>
      <c r="B37" s="46" t="s">
        <v>1000</v>
      </c>
      <c r="C37" s="337"/>
      <c r="D37" s="46"/>
      <c r="E37" s="46"/>
      <c r="F37" s="46"/>
      <c r="G37" s="46"/>
      <c r="H37" s="46"/>
      <c r="I37" s="46"/>
      <c r="J37" s="46"/>
      <c r="K37" s="46"/>
      <c r="L37" s="46"/>
      <c r="M37" s="46"/>
      <c r="N37" s="46"/>
      <c r="O37" s="46"/>
      <c r="P37" s="46"/>
      <c r="Q37" s="46"/>
      <c r="R37" s="46"/>
      <c r="S37" s="46"/>
      <c r="T37" s="46"/>
      <c r="U37" s="46"/>
    </row>
    <row r="38" spans="1:21" ht="15.75" customHeight="1">
      <c r="A38" s="338" t="s">
        <v>11</v>
      </c>
      <c r="B38" s="339" t="s">
        <v>789</v>
      </c>
      <c r="C38" s="46"/>
      <c r="D38" s="46"/>
      <c r="E38" s="46"/>
      <c r="F38" s="46"/>
      <c r="G38" s="46"/>
      <c r="H38" s="46"/>
      <c r="I38" s="46"/>
      <c r="J38" s="46"/>
      <c r="K38" s="46"/>
      <c r="L38" s="46"/>
      <c r="M38" s="46"/>
      <c r="N38" s="46"/>
      <c r="O38" s="46"/>
      <c r="P38" s="46"/>
      <c r="Q38" s="46"/>
      <c r="R38" s="46"/>
      <c r="S38" s="46"/>
      <c r="T38" s="46"/>
      <c r="U38" s="46"/>
    </row>
    <row r="39" spans="1:21">
      <c r="A39" s="338" t="s">
        <v>13</v>
      </c>
      <c r="B39" s="46" t="s">
        <v>14</v>
      </c>
      <c r="C39" s="46"/>
      <c r="D39" s="46"/>
      <c r="E39" s="46"/>
      <c r="F39" s="46"/>
      <c r="G39" s="46"/>
      <c r="H39" s="46"/>
      <c r="I39" s="46"/>
      <c r="J39" s="46"/>
      <c r="K39" s="46"/>
      <c r="L39" s="46"/>
      <c r="M39" s="46"/>
      <c r="N39" s="46"/>
      <c r="O39" s="46"/>
      <c r="P39" s="46"/>
      <c r="Q39" s="46"/>
      <c r="R39" s="46"/>
      <c r="S39" s="46"/>
      <c r="T39" s="46"/>
      <c r="U39" s="46"/>
    </row>
    <row r="40" spans="1:21">
      <c r="A40" s="338" t="s">
        <v>15</v>
      </c>
      <c r="B40" s="407">
        <f>B45</f>
        <v>0.06</v>
      </c>
      <c r="C40" s="46"/>
      <c r="D40" s="46"/>
      <c r="E40" s="46"/>
      <c r="F40" s="46"/>
      <c r="G40" s="46"/>
      <c r="H40" s="46"/>
      <c r="I40" s="46"/>
      <c r="J40" s="46"/>
      <c r="K40" s="46"/>
      <c r="L40" s="46"/>
      <c r="M40" s="46"/>
      <c r="N40" s="46"/>
      <c r="O40" s="46"/>
      <c r="P40" s="46"/>
      <c r="Q40" s="46"/>
      <c r="R40" s="46"/>
      <c r="S40" s="46"/>
      <c r="T40" s="46"/>
      <c r="U40" s="46"/>
    </row>
    <row r="41" spans="1:21">
      <c r="A41" s="338" t="s">
        <v>16</v>
      </c>
      <c r="B41" s="46" t="s">
        <v>17</v>
      </c>
      <c r="C41" s="46"/>
      <c r="D41" s="46"/>
      <c r="E41" s="46"/>
      <c r="F41" s="46"/>
      <c r="G41" s="46"/>
      <c r="H41" s="46"/>
      <c r="I41" s="46"/>
      <c r="J41" s="46"/>
      <c r="K41" s="46"/>
      <c r="L41" s="46"/>
      <c r="M41" s="46"/>
      <c r="N41" s="46"/>
      <c r="O41" s="46"/>
      <c r="P41" s="46"/>
      <c r="Q41" s="46"/>
      <c r="R41" s="46"/>
      <c r="S41" s="46"/>
      <c r="T41" s="46"/>
      <c r="U41" s="46"/>
    </row>
    <row r="42" spans="1:21">
      <c r="A42" s="338" t="s">
        <v>18</v>
      </c>
      <c r="B42" s="46" t="s">
        <v>113</v>
      </c>
      <c r="C42" s="46"/>
      <c r="D42" s="46"/>
      <c r="E42" s="46"/>
      <c r="F42" s="46"/>
      <c r="G42" s="46"/>
      <c r="H42" s="46"/>
      <c r="I42" s="46"/>
      <c r="J42" s="46"/>
      <c r="K42" s="46"/>
      <c r="L42" s="46"/>
      <c r="M42" s="46"/>
      <c r="N42" s="46"/>
      <c r="O42" s="46"/>
      <c r="P42" s="46"/>
      <c r="Q42" s="46"/>
      <c r="R42" s="46"/>
      <c r="S42" s="46"/>
      <c r="T42" s="46"/>
      <c r="U42" s="46"/>
    </row>
    <row r="43" spans="1:21">
      <c r="A43" s="335" t="s">
        <v>19</v>
      </c>
      <c r="B43" s="46"/>
      <c r="C43" s="46"/>
      <c r="D43" s="46"/>
      <c r="E43" s="46"/>
      <c r="F43" s="46"/>
      <c r="G43" s="46"/>
      <c r="H43" s="46"/>
      <c r="I43" s="46"/>
      <c r="J43" s="46"/>
      <c r="K43" s="46"/>
      <c r="L43" s="46"/>
      <c r="M43" s="46"/>
      <c r="N43" s="46"/>
      <c r="O43" s="46"/>
      <c r="P43" s="46"/>
      <c r="Q43" s="46"/>
      <c r="R43" s="46"/>
      <c r="S43" s="46"/>
      <c r="T43" s="46"/>
      <c r="U43" s="46"/>
    </row>
    <row r="44" spans="1:21">
      <c r="A44" s="336" t="s">
        <v>20</v>
      </c>
      <c r="B44" s="336" t="s">
        <v>21</v>
      </c>
      <c r="C44" s="336" t="s">
        <v>18</v>
      </c>
      <c r="D44" s="336" t="s">
        <v>22</v>
      </c>
      <c r="E44" s="336" t="s">
        <v>7</v>
      </c>
      <c r="F44" s="336" t="s">
        <v>13</v>
      </c>
      <c r="G44" s="336" t="s">
        <v>16</v>
      </c>
      <c r="H44" s="336" t="s">
        <v>23</v>
      </c>
      <c r="I44" s="336" t="s">
        <v>24</v>
      </c>
      <c r="J44" s="336" t="s">
        <v>25</v>
      </c>
      <c r="K44" s="336" t="s">
        <v>26</v>
      </c>
      <c r="L44" s="336" t="s">
        <v>27</v>
      </c>
      <c r="M44" s="336" t="s">
        <v>28</v>
      </c>
      <c r="N44" s="336" t="s">
        <v>11</v>
      </c>
      <c r="O44" s="46"/>
      <c r="P44" s="46"/>
      <c r="Q44" s="46"/>
      <c r="R44" s="46"/>
      <c r="S44" s="46"/>
      <c r="T44" s="407"/>
      <c r="U44" s="46"/>
    </row>
    <row r="45" spans="1:21">
      <c r="A45" s="46" t="s">
        <v>999</v>
      </c>
      <c r="B45" s="407">
        <f>B29</f>
        <v>0.06</v>
      </c>
      <c r="C45" s="46" t="s">
        <v>113</v>
      </c>
      <c r="D45" s="400" t="s">
        <v>2</v>
      </c>
      <c r="E45" s="46" t="s">
        <v>29</v>
      </c>
      <c r="F45" s="46" t="s">
        <v>14</v>
      </c>
      <c r="G45" s="46" t="s">
        <v>30</v>
      </c>
      <c r="H45" s="46">
        <v>1</v>
      </c>
      <c r="I45" s="407">
        <f t="shared" ref="I45:I47" si="8">B45</f>
        <v>0.06</v>
      </c>
      <c r="J45" s="46" t="s">
        <v>31</v>
      </c>
      <c r="K45" s="46" t="s">
        <v>31</v>
      </c>
      <c r="L45" s="46" t="s">
        <v>31</v>
      </c>
      <c r="M45" s="46" t="s">
        <v>31</v>
      </c>
      <c r="N45" s="46"/>
      <c r="O45" s="46"/>
      <c r="P45" s="46"/>
      <c r="Q45" s="46" t="s">
        <v>1001</v>
      </c>
      <c r="R45" s="46"/>
      <c r="S45" s="46"/>
      <c r="T45" s="46"/>
      <c r="U45" s="46"/>
    </row>
    <row r="46" spans="1:21">
      <c r="A46" s="47" t="s">
        <v>892</v>
      </c>
      <c r="B46" s="46">
        <v>0.33</v>
      </c>
      <c r="C46" s="46" t="s">
        <v>37</v>
      </c>
      <c r="D46" s="46" t="s">
        <v>40</v>
      </c>
      <c r="E46" s="46" t="s">
        <v>29</v>
      </c>
      <c r="F46" s="46" t="s">
        <v>128</v>
      </c>
      <c r="G46" s="46" t="s">
        <v>33</v>
      </c>
      <c r="H46" s="46">
        <v>1</v>
      </c>
      <c r="I46" s="407">
        <f t="shared" si="8"/>
        <v>0.33</v>
      </c>
      <c r="J46" s="46" t="s">
        <v>31</v>
      </c>
      <c r="K46" s="46" t="s">
        <v>31</v>
      </c>
      <c r="L46" s="46" t="s">
        <v>31</v>
      </c>
      <c r="M46" s="46" t="s">
        <v>31</v>
      </c>
      <c r="N46" s="46"/>
      <c r="O46" s="46"/>
      <c r="P46" s="46"/>
      <c r="Q46" s="46"/>
      <c r="R46" s="46"/>
      <c r="S46" s="46"/>
      <c r="T46" s="46"/>
      <c r="U46" s="46"/>
    </row>
    <row r="47" spans="1:21">
      <c r="A47" s="47" t="s">
        <v>893</v>
      </c>
      <c r="B47" s="46">
        <v>0.33</v>
      </c>
      <c r="C47" s="46" t="s">
        <v>37</v>
      </c>
      <c r="D47" s="46" t="s">
        <v>40</v>
      </c>
      <c r="E47" s="46" t="s">
        <v>29</v>
      </c>
      <c r="F47" s="46" t="s">
        <v>58</v>
      </c>
      <c r="G47" s="46" t="s">
        <v>33</v>
      </c>
      <c r="H47" s="46">
        <v>1</v>
      </c>
      <c r="I47" s="407">
        <f t="shared" si="8"/>
        <v>0.33</v>
      </c>
      <c r="J47" s="46" t="s">
        <v>31</v>
      </c>
      <c r="K47" s="46" t="s">
        <v>31</v>
      </c>
      <c r="L47" s="46" t="s">
        <v>31</v>
      </c>
      <c r="M47" s="46" t="s">
        <v>31</v>
      </c>
      <c r="N47" s="46"/>
      <c r="O47" s="46"/>
      <c r="P47" s="46"/>
      <c r="Q47" s="46"/>
      <c r="R47" s="46"/>
      <c r="S47" s="46"/>
      <c r="T47" s="46"/>
      <c r="U47" s="46"/>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8A23F-FCC2-49CB-B973-F917AA635458}">
  <sheetPr>
    <tabColor theme="8"/>
  </sheetPr>
  <dimension ref="A1:Y57"/>
  <sheetViews>
    <sheetView zoomScale="70" zoomScaleNormal="70" workbookViewId="0">
      <selection activeCell="A36" sqref="A36"/>
    </sheetView>
  </sheetViews>
  <sheetFormatPr defaultRowHeight="12.75"/>
  <cols>
    <col min="1" max="1" width="74" style="46" customWidth="1"/>
    <col min="2" max="4" width="9.140625" style="46"/>
    <col min="5" max="5" width="34.28515625" style="46" customWidth="1"/>
    <col min="6" max="6" width="16.7109375" style="46" customWidth="1"/>
    <col min="7" max="7" width="9.140625" style="46"/>
    <col min="8" max="8" width="14.28515625" style="46" customWidth="1"/>
    <col min="9" max="16384" width="9.140625" style="46"/>
  </cols>
  <sheetData>
    <row r="1" spans="1:21">
      <c r="A1" s="46" t="s">
        <v>0</v>
      </c>
      <c r="B1" s="46">
        <v>14</v>
      </c>
      <c r="R1" s="393"/>
      <c r="S1" s="406"/>
    </row>
    <row r="2" spans="1:21" s="345" customFormat="1">
      <c r="A2" s="362" t="s">
        <v>5</v>
      </c>
      <c r="B2" s="363" t="s">
        <v>978</v>
      </c>
      <c r="C2" s="363"/>
      <c r="R2" s="393"/>
      <c r="S2" s="406"/>
    </row>
    <row r="3" spans="1:21">
      <c r="A3" s="338" t="s">
        <v>7</v>
      </c>
      <c r="B3" s="46" t="s">
        <v>779</v>
      </c>
      <c r="D3" s="337"/>
      <c r="R3" s="393"/>
      <c r="S3" s="406"/>
    </row>
    <row r="4" spans="1:21">
      <c r="A4" s="416" t="s">
        <v>9</v>
      </c>
      <c r="B4" s="46" t="s">
        <v>1002</v>
      </c>
      <c r="D4" s="337"/>
    </row>
    <row r="5" spans="1:21" ht="15.75" customHeight="1">
      <c r="A5" s="338" t="s">
        <v>11</v>
      </c>
      <c r="B5" s="339" t="s">
        <v>789</v>
      </c>
      <c r="C5" s="339"/>
    </row>
    <row r="6" spans="1:21">
      <c r="A6" s="338" t="s">
        <v>13</v>
      </c>
      <c r="B6" s="46" t="s">
        <v>14</v>
      </c>
    </row>
    <row r="7" spans="1:21">
      <c r="A7" s="338" t="s">
        <v>15</v>
      </c>
      <c r="B7" s="350">
        <f>B12</f>
        <v>3.15</v>
      </c>
      <c r="C7" s="350"/>
    </row>
    <row r="8" spans="1:21">
      <c r="A8" s="338" t="s">
        <v>16</v>
      </c>
      <c r="B8" s="46" t="s">
        <v>17</v>
      </c>
    </row>
    <row r="9" spans="1:21">
      <c r="A9" s="338" t="s">
        <v>18</v>
      </c>
      <c r="B9" s="46" t="str">
        <f>D12</f>
        <v>kilogram</v>
      </c>
    </row>
    <row r="10" spans="1:21">
      <c r="A10" s="335" t="s">
        <v>19</v>
      </c>
    </row>
    <row r="11" spans="1:21">
      <c r="A11" s="336" t="s">
        <v>20</v>
      </c>
      <c r="B11" s="336" t="s">
        <v>21</v>
      </c>
      <c r="C11" s="374" t="s">
        <v>198</v>
      </c>
      <c r="D11" s="336" t="s">
        <v>18</v>
      </c>
      <c r="E11" s="336" t="s">
        <v>22</v>
      </c>
      <c r="F11" s="336" t="s">
        <v>7</v>
      </c>
      <c r="G11" s="336" t="s">
        <v>13</v>
      </c>
      <c r="H11" s="336" t="s">
        <v>16</v>
      </c>
      <c r="I11" s="336" t="s">
        <v>23</v>
      </c>
      <c r="J11" s="336" t="s">
        <v>24</v>
      </c>
      <c r="K11" s="336" t="s">
        <v>25</v>
      </c>
      <c r="L11" s="336" t="s">
        <v>26</v>
      </c>
      <c r="M11" s="336" t="s">
        <v>27</v>
      </c>
      <c r="N11" s="336" t="s">
        <v>28</v>
      </c>
      <c r="O11" s="336" t="s">
        <v>11</v>
      </c>
      <c r="U11" s="407"/>
    </row>
    <row r="12" spans="1:21">
      <c r="A12" s="46" t="s">
        <v>978</v>
      </c>
      <c r="B12" s="46">
        <f>B30</f>
        <v>3.15</v>
      </c>
      <c r="D12" s="46" t="s">
        <v>37</v>
      </c>
      <c r="E12" s="400" t="s">
        <v>2</v>
      </c>
      <c r="F12" s="46" t="s">
        <v>29</v>
      </c>
      <c r="G12" s="46" t="s">
        <v>14</v>
      </c>
      <c r="H12" s="46" t="s">
        <v>30</v>
      </c>
      <c r="I12" s="46">
        <v>1</v>
      </c>
      <c r="J12" s="407">
        <f>B12</f>
        <v>3.15</v>
      </c>
      <c r="K12" s="46" t="s">
        <v>31</v>
      </c>
      <c r="L12" s="46" t="s">
        <v>31</v>
      </c>
      <c r="M12" s="46" t="s">
        <v>31</v>
      </c>
      <c r="N12" s="46" t="s">
        <v>31</v>
      </c>
      <c r="P12" s="62"/>
      <c r="Q12" s="413"/>
    </row>
    <row r="13" spans="1:21">
      <c r="A13" s="46" t="s">
        <v>1003</v>
      </c>
      <c r="B13" s="46">
        <v>1</v>
      </c>
      <c r="D13" s="46" t="s">
        <v>18</v>
      </c>
      <c r="E13" s="400" t="s">
        <v>2</v>
      </c>
      <c r="F13" s="46" t="s">
        <v>29</v>
      </c>
      <c r="G13" s="46" t="s">
        <v>14</v>
      </c>
      <c r="H13" s="46" t="s">
        <v>33</v>
      </c>
      <c r="I13" s="46">
        <v>1</v>
      </c>
      <c r="J13" s="407">
        <f>B13</f>
        <v>1</v>
      </c>
      <c r="K13" s="46" t="s">
        <v>31</v>
      </c>
      <c r="L13" s="46" t="s">
        <v>31</v>
      </c>
      <c r="M13" s="46" t="s">
        <v>31</v>
      </c>
      <c r="N13" s="46" t="s">
        <v>31</v>
      </c>
    </row>
    <row r="14" spans="1:21">
      <c r="A14" s="338" t="s">
        <v>75</v>
      </c>
      <c r="B14" s="342">
        <f>Q14</f>
        <v>0.25</v>
      </c>
      <c r="C14" s="342"/>
      <c r="D14" s="46" t="s">
        <v>39</v>
      </c>
      <c r="E14" s="46" t="s">
        <v>40</v>
      </c>
      <c r="F14" s="46" t="s">
        <v>29</v>
      </c>
      <c r="G14" s="32" t="s">
        <v>35</v>
      </c>
      <c r="H14" s="46" t="s">
        <v>33</v>
      </c>
      <c r="I14" s="46">
        <v>2</v>
      </c>
      <c r="J14" s="46">
        <f t="shared" ref="J14:J18" si="0">LN(B14)</f>
        <v>-1.3862943611198906</v>
      </c>
      <c r="K14" s="456">
        <v>9.6046863561492793E-2</v>
      </c>
      <c r="L14" s="46" t="s">
        <v>31</v>
      </c>
      <c r="M14" s="46" t="s">
        <v>31</v>
      </c>
      <c r="N14" s="46" t="s">
        <v>31</v>
      </c>
      <c r="P14" s="393" t="s">
        <v>216</v>
      </c>
      <c r="Q14" s="406">
        <v>0.25</v>
      </c>
    </row>
    <row r="15" spans="1:21">
      <c r="A15" s="338" t="s">
        <v>75</v>
      </c>
      <c r="B15" s="342">
        <f>Q15</f>
        <v>0.5</v>
      </c>
      <c r="C15" s="342"/>
      <c r="D15" s="46" t="s">
        <v>39</v>
      </c>
      <c r="E15" s="46" t="s">
        <v>40</v>
      </c>
      <c r="F15" s="46" t="s">
        <v>29</v>
      </c>
      <c r="G15" s="32" t="s">
        <v>58</v>
      </c>
      <c r="H15" s="46" t="s">
        <v>33</v>
      </c>
      <c r="I15" s="46">
        <v>2</v>
      </c>
      <c r="J15" s="46">
        <f t="shared" si="0"/>
        <v>-0.69314718055994529</v>
      </c>
      <c r="K15" s="456">
        <v>9.6046863561492793E-2</v>
      </c>
      <c r="L15" s="46" t="s">
        <v>31</v>
      </c>
      <c r="M15" s="46" t="s">
        <v>31</v>
      </c>
      <c r="N15" s="46" t="s">
        <v>31</v>
      </c>
      <c r="P15" s="393" t="s">
        <v>216</v>
      </c>
      <c r="Q15" s="406">
        <v>0.5</v>
      </c>
    </row>
    <row r="16" spans="1:21">
      <c r="A16" s="47" t="s">
        <v>896</v>
      </c>
      <c r="B16" s="46">
        <f>S16</f>
        <v>6.5000000000000002E-2</v>
      </c>
      <c r="D16" s="46" t="s">
        <v>37</v>
      </c>
      <c r="E16" s="46" t="s">
        <v>40</v>
      </c>
      <c r="F16" s="46" t="s">
        <v>29</v>
      </c>
      <c r="G16" s="46" t="s">
        <v>35</v>
      </c>
      <c r="H16" s="46" t="s">
        <v>33</v>
      </c>
      <c r="I16" s="46">
        <v>2</v>
      </c>
      <c r="J16" s="46">
        <f t="shared" si="0"/>
        <v>-2.7333680090865</v>
      </c>
      <c r="K16" s="456">
        <v>9.6046863561492793E-2</v>
      </c>
      <c r="L16" s="46" t="s">
        <v>31</v>
      </c>
      <c r="M16" s="46" t="s">
        <v>31</v>
      </c>
      <c r="N16" s="46" t="s">
        <v>31</v>
      </c>
      <c r="P16" s="393" t="s">
        <v>575</v>
      </c>
      <c r="Q16" s="406">
        <v>65</v>
      </c>
      <c r="R16" s="393" t="s">
        <v>221</v>
      </c>
      <c r="S16" s="406">
        <f>0.001*Q16</f>
        <v>6.5000000000000002E-2</v>
      </c>
    </row>
    <row r="17" spans="1:21">
      <c r="A17" s="47" t="s">
        <v>897</v>
      </c>
      <c r="B17" s="46">
        <f>Q17</f>
        <v>1.2</v>
      </c>
      <c r="D17" s="46" t="s">
        <v>37</v>
      </c>
      <c r="E17" s="46" t="s">
        <v>40</v>
      </c>
      <c r="F17" s="46" t="s">
        <v>29</v>
      </c>
      <c r="G17" s="32" t="s">
        <v>741</v>
      </c>
      <c r="H17" s="46" t="s">
        <v>33</v>
      </c>
      <c r="I17" s="46">
        <v>2</v>
      </c>
      <c r="J17" s="46">
        <f t="shared" si="0"/>
        <v>0.18232155679395459</v>
      </c>
      <c r="K17" s="456">
        <v>9.6046863561492793E-2</v>
      </c>
      <c r="L17" s="46" t="s">
        <v>31</v>
      </c>
      <c r="M17" s="46" t="s">
        <v>31</v>
      </c>
      <c r="N17" s="46" t="s">
        <v>31</v>
      </c>
      <c r="P17" s="393" t="s">
        <v>221</v>
      </c>
      <c r="Q17" s="406">
        <v>1.2</v>
      </c>
    </row>
    <row r="18" spans="1:21">
      <c r="A18" s="47" t="s">
        <v>740</v>
      </c>
      <c r="B18" s="46">
        <f>S18</f>
        <v>6.5000000000000002E-2</v>
      </c>
      <c r="D18" s="46" t="s">
        <v>37</v>
      </c>
      <c r="E18" s="46" t="s">
        <v>40</v>
      </c>
      <c r="F18" s="46" t="s">
        <v>29</v>
      </c>
      <c r="G18" s="32" t="s">
        <v>741</v>
      </c>
      <c r="H18" s="46" t="s">
        <v>33</v>
      </c>
      <c r="I18" s="46">
        <v>2</v>
      </c>
      <c r="J18" s="46">
        <f t="shared" si="0"/>
        <v>-2.7333680090865</v>
      </c>
      <c r="K18" s="456">
        <v>9.6046863561492793E-2</v>
      </c>
      <c r="L18" s="46" t="s">
        <v>31</v>
      </c>
      <c r="M18" s="46" t="s">
        <v>31</v>
      </c>
      <c r="N18" s="46" t="s">
        <v>31</v>
      </c>
      <c r="P18" s="393" t="s">
        <v>575</v>
      </c>
      <c r="Q18" s="406">
        <v>65</v>
      </c>
      <c r="R18" s="393" t="s">
        <v>221</v>
      </c>
      <c r="S18" s="406">
        <f>0.001*Q18</f>
        <v>6.5000000000000002E-2</v>
      </c>
    </row>
    <row r="19" spans="1:21" s="345" customFormat="1">
      <c r="A19" s="362" t="s">
        <v>5</v>
      </c>
      <c r="B19" s="363" t="str">
        <f>A29</f>
        <v>production of machined casing, mass scaled activities, isolating DCDC converter, PEMFC-bat, Medium-Term</v>
      </c>
      <c r="C19" s="363"/>
    </row>
    <row r="20" spans="1:21">
      <c r="A20" s="338" t="s">
        <v>7</v>
      </c>
      <c r="B20" s="46" t="s">
        <v>779</v>
      </c>
      <c r="D20" s="337"/>
    </row>
    <row r="21" spans="1:21">
      <c r="A21" s="416" t="s">
        <v>9</v>
      </c>
      <c r="B21" s="46" t="s">
        <v>1004</v>
      </c>
      <c r="D21" s="337"/>
    </row>
    <row r="22" spans="1:21" ht="15.75" customHeight="1">
      <c r="A22" s="338" t="s">
        <v>11</v>
      </c>
      <c r="B22" s="339" t="s">
        <v>789</v>
      </c>
      <c r="C22" s="339"/>
    </row>
    <row r="23" spans="1:21">
      <c r="A23" s="338" t="s">
        <v>13</v>
      </c>
      <c r="B23" s="46" t="s">
        <v>14</v>
      </c>
    </row>
    <row r="24" spans="1:21">
      <c r="A24" s="338" t="s">
        <v>15</v>
      </c>
      <c r="B24" s="350">
        <v>1</v>
      </c>
      <c r="C24" s="350"/>
    </row>
    <row r="25" spans="1:21">
      <c r="A25" s="338" t="s">
        <v>16</v>
      </c>
      <c r="B25" s="46" t="s">
        <v>17</v>
      </c>
    </row>
    <row r="26" spans="1:21">
      <c r="A26" s="338" t="s">
        <v>18</v>
      </c>
      <c r="B26" s="46" t="s">
        <v>18</v>
      </c>
    </row>
    <row r="27" spans="1:21">
      <c r="A27" s="335" t="s">
        <v>19</v>
      </c>
    </row>
    <row r="28" spans="1:21">
      <c r="A28" s="336" t="s">
        <v>20</v>
      </c>
      <c r="B28" s="336" t="s">
        <v>21</v>
      </c>
      <c r="C28" s="374" t="s">
        <v>198</v>
      </c>
      <c r="D28" s="336" t="s">
        <v>18</v>
      </c>
      <c r="E28" s="336" t="s">
        <v>22</v>
      </c>
      <c r="F28" s="336" t="s">
        <v>7</v>
      </c>
      <c r="G28" s="336" t="s">
        <v>13</v>
      </c>
      <c r="H28" s="336" t="s">
        <v>16</v>
      </c>
      <c r="I28" s="336" t="s">
        <v>23</v>
      </c>
      <c r="J28" s="336" t="s">
        <v>24</v>
      </c>
      <c r="K28" s="336" t="s">
        <v>25</v>
      </c>
      <c r="L28" s="336" t="s">
        <v>26</v>
      </c>
      <c r="M28" s="336" t="s">
        <v>27</v>
      </c>
      <c r="N28" s="336" t="s">
        <v>28</v>
      </c>
      <c r="O28" s="336" t="s">
        <v>11</v>
      </c>
      <c r="U28" s="407"/>
    </row>
    <row r="29" spans="1:21">
      <c r="A29" s="46" t="s">
        <v>1003</v>
      </c>
      <c r="B29" s="46">
        <v>1</v>
      </c>
      <c r="D29" s="46" t="s">
        <v>18</v>
      </c>
      <c r="E29" s="400" t="s">
        <v>2</v>
      </c>
      <c r="F29" s="46" t="s">
        <v>29</v>
      </c>
      <c r="G29" s="46" t="s">
        <v>14</v>
      </c>
      <c r="H29" s="46" t="s">
        <v>30</v>
      </c>
      <c r="I29" s="46">
        <v>1</v>
      </c>
      <c r="J29" s="407">
        <f>B29</f>
        <v>1</v>
      </c>
      <c r="K29" s="46" t="s">
        <v>31</v>
      </c>
      <c r="L29" s="46" t="s">
        <v>31</v>
      </c>
      <c r="M29" s="46" t="s">
        <v>31</v>
      </c>
      <c r="N29" s="46" t="s">
        <v>31</v>
      </c>
    </row>
    <row r="30" spans="1:21">
      <c r="A30" s="46" t="s">
        <v>1005</v>
      </c>
      <c r="B30" s="46">
        <f>Q30</f>
        <v>3.15</v>
      </c>
      <c r="D30" s="46" t="s">
        <v>37</v>
      </c>
      <c r="E30" s="400" t="s">
        <v>2</v>
      </c>
      <c r="F30" s="46" t="s">
        <v>29</v>
      </c>
      <c r="G30" s="46" t="s">
        <v>14</v>
      </c>
      <c r="H30" s="46" t="s">
        <v>33</v>
      </c>
      <c r="I30" s="46">
        <v>2</v>
      </c>
      <c r="J30" s="46">
        <f>LN(B30)</f>
        <v>1.1474024528375417</v>
      </c>
      <c r="K30" s="46">
        <v>0.10307764064044142</v>
      </c>
      <c r="L30" s="46" t="s">
        <v>31</v>
      </c>
      <c r="M30" s="46" t="s">
        <v>31</v>
      </c>
      <c r="N30" s="46" t="s">
        <v>31</v>
      </c>
      <c r="Q30" s="454">
        <v>3.15</v>
      </c>
    </row>
    <row r="31" spans="1:21">
      <c r="A31" s="338" t="s">
        <v>75</v>
      </c>
      <c r="B31" s="342">
        <f>Q31</f>
        <v>0.18</v>
      </c>
      <c r="C31" s="342"/>
      <c r="D31" s="46" t="s">
        <v>39</v>
      </c>
      <c r="E31" s="46" t="s">
        <v>40</v>
      </c>
      <c r="F31" s="46" t="s">
        <v>29</v>
      </c>
      <c r="G31" s="32" t="s">
        <v>58</v>
      </c>
      <c r="H31" s="46" t="s">
        <v>33</v>
      </c>
      <c r="I31" s="46">
        <v>2</v>
      </c>
      <c r="J31" s="46">
        <f t="shared" ref="J31:J37" si="1">LN(B31)</f>
        <v>-1.7147984280919266</v>
      </c>
      <c r="K31" s="46">
        <v>9.6046863561492793E-2</v>
      </c>
      <c r="L31" s="46" t="s">
        <v>31</v>
      </c>
      <c r="M31" s="46" t="s">
        <v>31</v>
      </c>
      <c r="N31" s="46" t="s">
        <v>31</v>
      </c>
      <c r="P31" s="393" t="s">
        <v>216</v>
      </c>
      <c r="Q31" s="406">
        <v>0.18</v>
      </c>
    </row>
    <row r="32" spans="1:21">
      <c r="A32" s="47" t="s">
        <v>896</v>
      </c>
      <c r="B32" s="46">
        <f>S32</f>
        <v>4.2000000000000003E-2</v>
      </c>
      <c r="D32" s="46" t="s">
        <v>37</v>
      </c>
      <c r="E32" s="46" t="s">
        <v>40</v>
      </c>
      <c r="F32" s="46" t="s">
        <v>29</v>
      </c>
      <c r="G32" s="46" t="s">
        <v>35</v>
      </c>
      <c r="H32" s="46" t="s">
        <v>33</v>
      </c>
      <c r="I32" s="46">
        <v>2</v>
      </c>
      <c r="J32" s="46">
        <f t="shared" si="1"/>
        <v>-3.1700856606987688</v>
      </c>
      <c r="K32" s="46">
        <v>9.6046863561492793E-2</v>
      </c>
      <c r="L32" s="46" t="s">
        <v>31</v>
      </c>
      <c r="M32" s="46" t="s">
        <v>31</v>
      </c>
      <c r="N32" s="46" t="s">
        <v>31</v>
      </c>
      <c r="P32" s="393" t="s">
        <v>575</v>
      </c>
      <c r="Q32" s="406">
        <v>42</v>
      </c>
      <c r="R32" s="393" t="s">
        <v>221</v>
      </c>
      <c r="S32" s="406">
        <f>0.001*Q32</f>
        <v>4.2000000000000003E-2</v>
      </c>
    </row>
    <row r="33" spans="1:21">
      <c r="A33" s="47" t="s">
        <v>897</v>
      </c>
      <c r="B33" s="46">
        <f>Q33</f>
        <v>0.78</v>
      </c>
      <c r="D33" s="46" t="s">
        <v>37</v>
      </c>
      <c r="E33" s="46" t="s">
        <v>40</v>
      </c>
      <c r="F33" s="46" t="s">
        <v>29</v>
      </c>
      <c r="G33" s="32" t="s">
        <v>741</v>
      </c>
      <c r="H33" s="46" t="s">
        <v>33</v>
      </c>
      <c r="I33" s="46">
        <v>2</v>
      </c>
      <c r="J33" s="46">
        <f t="shared" si="1"/>
        <v>-0.24846135929849961</v>
      </c>
      <c r="K33" s="46">
        <v>9.6046863561492793E-2</v>
      </c>
      <c r="L33" s="46" t="s">
        <v>31</v>
      </c>
      <c r="M33" s="46" t="s">
        <v>31</v>
      </c>
      <c r="N33" s="46" t="s">
        <v>31</v>
      </c>
      <c r="P33" s="393" t="s">
        <v>221</v>
      </c>
      <c r="Q33" s="406">
        <v>0.78</v>
      </c>
    </row>
    <row r="34" spans="1:21">
      <c r="A34" s="430" t="s">
        <v>247</v>
      </c>
      <c r="B34" s="46">
        <v>0.159</v>
      </c>
      <c r="C34" s="62" t="s">
        <v>248</v>
      </c>
      <c r="D34" s="46" t="s">
        <v>37</v>
      </c>
      <c r="E34" s="46" t="s">
        <v>40</v>
      </c>
      <c r="F34" s="46" t="s">
        <v>29</v>
      </c>
      <c r="G34" s="32" t="s">
        <v>35</v>
      </c>
      <c r="H34" s="46" t="s">
        <v>33</v>
      </c>
      <c r="I34" s="46">
        <v>2</v>
      </c>
      <c r="J34" s="46">
        <f t="shared" si="1"/>
        <v>-1.8388510767619055</v>
      </c>
      <c r="K34" s="46">
        <v>9.6046863561492793E-2</v>
      </c>
      <c r="L34" s="46" t="s">
        <v>31</v>
      </c>
      <c r="M34" s="46" t="s">
        <v>31</v>
      </c>
      <c r="N34" s="46" t="s">
        <v>31</v>
      </c>
      <c r="P34" s="393"/>
      <c r="Q34" s="406"/>
    </row>
    <row r="35" spans="1:21">
      <c r="A35" s="62" t="s">
        <v>245</v>
      </c>
      <c r="B35" s="46">
        <f>S35</f>
        <v>0.159</v>
      </c>
      <c r="D35" s="46" t="s">
        <v>37</v>
      </c>
      <c r="E35" s="46" t="s">
        <v>40</v>
      </c>
      <c r="F35" s="46" t="s">
        <v>29</v>
      </c>
      <c r="G35" s="46" t="s">
        <v>35</v>
      </c>
      <c r="H35" s="46" t="s">
        <v>33</v>
      </c>
      <c r="I35" s="46">
        <v>2</v>
      </c>
      <c r="J35" s="46">
        <f t="shared" si="1"/>
        <v>-1.8388510767619055</v>
      </c>
      <c r="K35" s="46">
        <v>9.6046863561492793E-2</v>
      </c>
      <c r="L35" s="46" t="s">
        <v>31</v>
      </c>
      <c r="M35" s="46" t="s">
        <v>31</v>
      </c>
      <c r="N35" s="46" t="s">
        <v>31</v>
      </c>
      <c r="P35" s="410" t="s">
        <v>575</v>
      </c>
      <c r="Q35" s="411">
        <v>159</v>
      </c>
      <c r="R35" s="393" t="s">
        <v>221</v>
      </c>
      <c r="S35" s="406">
        <f>0.001*Q35</f>
        <v>0.159</v>
      </c>
    </row>
    <row r="36" spans="1:21">
      <c r="A36" s="47" t="s">
        <v>900</v>
      </c>
      <c r="B36" s="46">
        <f t="shared" ref="B36" si="2">S36</f>
        <v>0.159</v>
      </c>
      <c r="D36" s="46" t="s">
        <v>37</v>
      </c>
      <c r="E36" s="46" t="s">
        <v>40</v>
      </c>
      <c r="F36" s="46" t="s">
        <v>29</v>
      </c>
      <c r="G36" s="46" t="s">
        <v>58</v>
      </c>
      <c r="H36" s="46" t="s">
        <v>243</v>
      </c>
      <c r="I36" s="46">
        <v>2</v>
      </c>
      <c r="J36" s="46">
        <f t="shared" si="1"/>
        <v>-1.8388510767619055</v>
      </c>
      <c r="K36" s="46">
        <v>9.6046863561492793E-2</v>
      </c>
      <c r="L36" s="46" t="s">
        <v>31</v>
      </c>
      <c r="M36" s="46" t="s">
        <v>31</v>
      </c>
      <c r="N36" s="46" t="s">
        <v>31</v>
      </c>
      <c r="P36" s="410" t="s">
        <v>575</v>
      </c>
      <c r="Q36" s="411">
        <v>159</v>
      </c>
      <c r="R36" s="393" t="s">
        <v>221</v>
      </c>
      <c r="S36" s="406">
        <f t="shared" ref="S36:S37" si="3">0.001*Q36</f>
        <v>0.159</v>
      </c>
    </row>
    <row r="37" spans="1:21">
      <c r="A37" s="47" t="s">
        <v>740</v>
      </c>
      <c r="B37" s="46">
        <f>S37</f>
        <v>4.2000000000000003E-2</v>
      </c>
      <c r="D37" s="46" t="s">
        <v>37</v>
      </c>
      <c r="E37" s="46" t="s">
        <v>40</v>
      </c>
      <c r="F37" s="46" t="s">
        <v>29</v>
      </c>
      <c r="G37" s="32" t="s">
        <v>741</v>
      </c>
      <c r="H37" s="46" t="s">
        <v>33</v>
      </c>
      <c r="I37" s="46">
        <v>2</v>
      </c>
      <c r="J37" s="46">
        <f t="shared" si="1"/>
        <v>-3.1700856606987688</v>
      </c>
      <c r="K37" s="46">
        <v>9.6046863561492793E-2</v>
      </c>
      <c r="L37" s="46" t="s">
        <v>31</v>
      </c>
      <c r="M37" s="46" t="s">
        <v>31</v>
      </c>
      <c r="N37" s="46" t="s">
        <v>31</v>
      </c>
      <c r="P37" s="410" t="s">
        <v>575</v>
      </c>
      <c r="Q37" s="411">
        <v>42</v>
      </c>
      <c r="R37" s="393" t="s">
        <v>221</v>
      </c>
      <c r="S37" s="406">
        <f t="shared" si="3"/>
        <v>4.2000000000000003E-2</v>
      </c>
    </row>
    <row r="38" spans="1:21" s="345" customFormat="1">
      <c r="A38" s="362" t="s">
        <v>5</v>
      </c>
      <c r="B38" s="363" t="s">
        <v>1005</v>
      </c>
      <c r="C38" s="363"/>
    </row>
    <row r="39" spans="1:21">
      <c r="A39" s="338" t="s">
        <v>7</v>
      </c>
      <c r="B39" s="46" t="s">
        <v>779</v>
      </c>
      <c r="D39" s="337"/>
    </row>
    <row r="40" spans="1:21">
      <c r="A40" s="416" t="s">
        <v>9</v>
      </c>
      <c r="B40" s="46" t="s">
        <v>1006</v>
      </c>
      <c r="D40" s="337"/>
    </row>
    <row r="41" spans="1:21" ht="15.75" customHeight="1">
      <c r="A41" s="338" t="s">
        <v>11</v>
      </c>
      <c r="B41" s="339" t="s">
        <v>789</v>
      </c>
      <c r="C41" s="339"/>
    </row>
    <row r="42" spans="1:21">
      <c r="A42" s="338" t="s">
        <v>13</v>
      </c>
      <c r="B42" s="46" t="s">
        <v>14</v>
      </c>
    </row>
    <row r="43" spans="1:21">
      <c r="A43" s="338" t="s">
        <v>15</v>
      </c>
      <c r="B43" s="350">
        <f>B48</f>
        <v>3.15</v>
      </c>
      <c r="C43" s="350"/>
    </row>
    <row r="44" spans="1:21">
      <c r="A44" s="338" t="s">
        <v>16</v>
      </c>
      <c r="B44" s="46" t="s">
        <v>17</v>
      </c>
    </row>
    <row r="45" spans="1:21">
      <c r="A45" s="338" t="s">
        <v>18</v>
      </c>
      <c r="B45" s="46" t="s">
        <v>37</v>
      </c>
    </row>
    <row r="46" spans="1:21">
      <c r="A46" s="335" t="s">
        <v>19</v>
      </c>
    </row>
    <row r="47" spans="1:21">
      <c r="A47" s="336" t="s">
        <v>20</v>
      </c>
      <c r="B47" s="336" t="s">
        <v>21</v>
      </c>
      <c r="C47" s="374" t="s">
        <v>198</v>
      </c>
      <c r="D47" s="336" t="s">
        <v>18</v>
      </c>
      <c r="E47" s="336" t="s">
        <v>22</v>
      </c>
      <c r="F47" s="336" t="s">
        <v>7</v>
      </c>
      <c r="G47" s="336" t="s">
        <v>13</v>
      </c>
      <c r="H47" s="336" t="s">
        <v>16</v>
      </c>
      <c r="I47" s="336" t="s">
        <v>23</v>
      </c>
      <c r="J47" s="336" t="s">
        <v>24</v>
      </c>
      <c r="K47" s="336" t="s">
        <v>25</v>
      </c>
      <c r="L47" s="336" t="s">
        <v>26</v>
      </c>
      <c r="M47" s="336" t="s">
        <v>27</v>
      </c>
      <c r="N47" s="336" t="s">
        <v>28</v>
      </c>
      <c r="O47" s="336" t="s">
        <v>11</v>
      </c>
      <c r="U47" s="407"/>
    </row>
    <row r="48" spans="1:21">
      <c r="A48" s="46" t="s">
        <v>1005</v>
      </c>
      <c r="B48" s="46">
        <f>Q48</f>
        <v>3.15</v>
      </c>
      <c r="D48" s="46" t="s">
        <v>37</v>
      </c>
      <c r="E48" s="400" t="s">
        <v>2</v>
      </c>
      <c r="F48" s="46" t="s">
        <v>29</v>
      </c>
      <c r="G48" s="46" t="s">
        <v>14</v>
      </c>
      <c r="H48" s="46" t="s">
        <v>30</v>
      </c>
      <c r="I48" s="46">
        <v>2</v>
      </c>
      <c r="J48" s="46">
        <f>LN(B48)</f>
        <v>1.1474024528375417</v>
      </c>
      <c r="K48" s="46">
        <v>0.10307764064044142</v>
      </c>
      <c r="L48" s="46" t="s">
        <v>31</v>
      </c>
      <c r="M48" s="46" t="s">
        <v>31</v>
      </c>
      <c r="N48" s="46" t="s">
        <v>31</v>
      </c>
      <c r="Q48" s="457">
        <v>3.15</v>
      </c>
    </row>
    <row r="49" spans="1:25">
      <c r="A49" s="47" t="s">
        <v>900</v>
      </c>
      <c r="B49" s="46">
        <f>Q49</f>
        <v>3.34</v>
      </c>
      <c r="D49" s="46" t="s">
        <v>37</v>
      </c>
      <c r="E49" s="46" t="s">
        <v>40</v>
      </c>
      <c r="F49" s="46" t="s">
        <v>29</v>
      </c>
      <c r="G49" s="46" t="s">
        <v>58</v>
      </c>
      <c r="H49" s="46" t="s">
        <v>33</v>
      </c>
      <c r="I49" s="46">
        <v>2</v>
      </c>
      <c r="J49" s="46">
        <f t="shared" ref="J49:J57" si="4">LN(B49)</f>
        <v>1.205970806988609</v>
      </c>
      <c r="K49" s="46">
        <v>4.9999999999998969E-3</v>
      </c>
      <c r="L49" s="46" t="s">
        <v>31</v>
      </c>
      <c r="M49" s="46" t="s">
        <v>31</v>
      </c>
      <c r="N49" s="46" t="s">
        <v>31</v>
      </c>
      <c r="P49" s="393" t="s">
        <v>221</v>
      </c>
      <c r="Q49" s="406">
        <v>3.34</v>
      </c>
    </row>
    <row r="50" spans="1:25">
      <c r="A50" s="26" t="s">
        <v>77</v>
      </c>
      <c r="B50" s="46">
        <f>S50</f>
        <v>0.88772845953002621</v>
      </c>
      <c r="D50" s="46" t="s">
        <v>42</v>
      </c>
      <c r="E50" s="46" t="s">
        <v>40</v>
      </c>
      <c r="F50" s="46" t="s">
        <v>29</v>
      </c>
      <c r="G50" s="46" t="s">
        <v>217</v>
      </c>
      <c r="H50" s="46" t="s">
        <v>33</v>
      </c>
      <c r="I50" s="46">
        <v>2</v>
      </c>
      <c r="J50" s="46">
        <f t="shared" si="4"/>
        <v>-0.11908937157043879</v>
      </c>
      <c r="K50" s="46">
        <v>4.9999999999998969E-3</v>
      </c>
      <c r="L50" s="46" t="s">
        <v>31</v>
      </c>
      <c r="M50" s="46" t="s">
        <v>31</v>
      </c>
      <c r="N50" s="46" t="s">
        <v>31</v>
      </c>
      <c r="P50" s="393" t="s">
        <v>218</v>
      </c>
      <c r="Q50" s="406">
        <v>34</v>
      </c>
      <c r="R50" s="46" t="s">
        <v>219</v>
      </c>
      <c r="S50" s="46">
        <f>Q50/38.3</f>
        <v>0.88772845953002621</v>
      </c>
      <c r="T50" s="458"/>
      <c r="U50" s="459"/>
      <c r="V50" s="459"/>
      <c r="W50" s="459"/>
      <c r="X50" s="459"/>
      <c r="Y50" s="459"/>
    </row>
    <row r="51" spans="1:25">
      <c r="A51" s="338" t="s">
        <v>75</v>
      </c>
      <c r="B51" s="342">
        <f>Q51</f>
        <v>8.19</v>
      </c>
      <c r="C51" s="342"/>
      <c r="D51" s="46" t="s">
        <v>39</v>
      </c>
      <c r="E51" s="46" t="s">
        <v>40</v>
      </c>
      <c r="F51" s="46" t="s">
        <v>29</v>
      </c>
      <c r="G51" s="32" t="s">
        <v>58</v>
      </c>
      <c r="H51" s="46" t="s">
        <v>33</v>
      </c>
      <c r="I51" s="46">
        <v>2</v>
      </c>
      <c r="J51" s="46">
        <f t="shared" si="4"/>
        <v>2.102913897864978</v>
      </c>
      <c r="K51" s="46">
        <v>4.9999999999998969E-3</v>
      </c>
      <c r="L51" s="46" t="s">
        <v>31</v>
      </c>
      <c r="M51" s="46" t="s">
        <v>31</v>
      </c>
      <c r="N51" s="46" t="s">
        <v>31</v>
      </c>
      <c r="P51" s="393" t="s">
        <v>216</v>
      </c>
      <c r="Q51" s="406">
        <v>8.19</v>
      </c>
    </row>
    <row r="52" spans="1:25">
      <c r="A52" s="47" t="s">
        <v>902</v>
      </c>
      <c r="B52" s="46">
        <f>S52</f>
        <v>6.3E-2</v>
      </c>
      <c r="D52" s="46" t="s">
        <v>37</v>
      </c>
      <c r="E52" s="46" t="s">
        <v>40</v>
      </c>
      <c r="F52" s="46" t="s">
        <v>29</v>
      </c>
      <c r="G52" s="46" t="s">
        <v>35</v>
      </c>
      <c r="H52" s="46" t="s">
        <v>33</v>
      </c>
      <c r="I52" s="46">
        <v>2</v>
      </c>
      <c r="J52" s="46">
        <f t="shared" si="4"/>
        <v>-2.7646205525906042</v>
      </c>
      <c r="K52" s="46">
        <v>0.10049875621120885</v>
      </c>
      <c r="L52" s="46" t="s">
        <v>31</v>
      </c>
      <c r="M52" s="46" t="s">
        <v>31</v>
      </c>
      <c r="N52" s="46" t="s">
        <v>31</v>
      </c>
      <c r="P52" s="393" t="s">
        <v>575</v>
      </c>
      <c r="Q52" s="406">
        <v>63</v>
      </c>
      <c r="R52" s="393" t="s">
        <v>221</v>
      </c>
      <c r="S52" s="406">
        <f t="shared" ref="S52:S54" si="5">0.001*Q52</f>
        <v>6.3E-2</v>
      </c>
    </row>
    <row r="53" spans="1:25">
      <c r="A53" s="47" t="s">
        <v>903</v>
      </c>
      <c r="B53" s="46">
        <f>S53</f>
        <v>1.3000000000000002E-3</v>
      </c>
      <c r="D53" s="46" t="s">
        <v>37</v>
      </c>
      <c r="E53" s="46" t="s">
        <v>43</v>
      </c>
      <c r="F53" s="46" t="s">
        <v>44</v>
      </c>
      <c r="G53" s="46" t="s">
        <v>29</v>
      </c>
      <c r="H53" s="46" t="s">
        <v>45</v>
      </c>
      <c r="I53" s="46">
        <v>2</v>
      </c>
      <c r="J53" s="46">
        <f t="shared" si="4"/>
        <v>-6.6453910145146455</v>
      </c>
      <c r="K53" s="46">
        <v>4.9999999999998969E-3</v>
      </c>
      <c r="L53" s="46" t="s">
        <v>31</v>
      </c>
      <c r="M53" s="46" t="s">
        <v>31</v>
      </c>
      <c r="N53" s="46" t="s">
        <v>31</v>
      </c>
      <c r="P53" s="408" t="s">
        <v>575</v>
      </c>
      <c r="Q53" s="431">
        <v>1.3</v>
      </c>
      <c r="R53" s="393" t="s">
        <v>221</v>
      </c>
      <c r="S53" s="406">
        <f t="shared" si="5"/>
        <v>1.3000000000000002E-3</v>
      </c>
    </row>
    <row r="54" spans="1:25">
      <c r="A54" s="338" t="s">
        <v>760</v>
      </c>
      <c r="B54" s="46">
        <f>S54</f>
        <v>3.2000000000000002E-3</v>
      </c>
      <c r="D54" s="46" t="s">
        <v>37</v>
      </c>
      <c r="E54" s="46" t="s">
        <v>43</v>
      </c>
      <c r="F54" s="46" t="s">
        <v>44</v>
      </c>
      <c r="G54" s="32" t="s">
        <v>29</v>
      </c>
      <c r="H54" s="46" t="s">
        <v>45</v>
      </c>
      <c r="I54" s="46">
        <v>2</v>
      </c>
      <c r="J54" s="46">
        <f t="shared" si="4"/>
        <v>-5.7446044691764557</v>
      </c>
      <c r="K54" s="46">
        <v>8.9582364335844641E-2</v>
      </c>
      <c r="L54" s="46" t="s">
        <v>31</v>
      </c>
      <c r="M54" s="46" t="s">
        <v>31</v>
      </c>
      <c r="N54" s="46" t="s">
        <v>31</v>
      </c>
      <c r="P54" s="408" t="s">
        <v>575</v>
      </c>
      <c r="Q54" s="431">
        <v>3.2</v>
      </c>
      <c r="R54" s="393" t="s">
        <v>221</v>
      </c>
      <c r="S54" s="406">
        <f t="shared" si="5"/>
        <v>3.2000000000000002E-3</v>
      </c>
    </row>
    <row r="55" spans="1:25">
      <c r="A55" s="430" t="s">
        <v>247</v>
      </c>
      <c r="B55" s="46">
        <f>Q56</f>
        <v>0.19</v>
      </c>
      <c r="C55" s="62" t="s">
        <v>248</v>
      </c>
      <c r="D55" s="46" t="s">
        <v>37</v>
      </c>
      <c r="E55" s="46" t="s">
        <v>40</v>
      </c>
      <c r="F55" s="46" t="s">
        <v>29</v>
      </c>
      <c r="G55" s="32" t="s">
        <v>35</v>
      </c>
      <c r="H55" s="46" t="s">
        <v>33</v>
      </c>
      <c r="I55" s="46">
        <v>2</v>
      </c>
      <c r="J55" s="46">
        <f t="shared" si="4"/>
        <v>-1.6607312068216509</v>
      </c>
      <c r="K55" s="46">
        <v>9.6046863561492793E-2</v>
      </c>
      <c r="L55" s="46" t="s">
        <v>31</v>
      </c>
      <c r="M55" s="46" t="s">
        <v>31</v>
      </c>
      <c r="N55" s="46" t="s">
        <v>31</v>
      </c>
      <c r="P55" s="408"/>
      <c r="Q55" s="431"/>
      <c r="R55" s="424"/>
      <c r="S55" s="425"/>
    </row>
    <row r="56" spans="1:25">
      <c r="A56" s="62" t="s">
        <v>245</v>
      </c>
      <c r="B56" s="46">
        <f>Q56</f>
        <v>0.19</v>
      </c>
      <c r="D56" s="46" t="s">
        <v>37</v>
      </c>
      <c r="E56" s="46" t="s">
        <v>40</v>
      </c>
      <c r="F56" s="46" t="s">
        <v>29</v>
      </c>
      <c r="G56" s="46" t="s">
        <v>35</v>
      </c>
      <c r="H56" s="46" t="s">
        <v>33</v>
      </c>
      <c r="I56" s="46">
        <v>2</v>
      </c>
      <c r="J56" s="46">
        <f t="shared" si="4"/>
        <v>-1.6607312068216509</v>
      </c>
      <c r="K56" s="46">
        <v>4.9999999999998969E-3</v>
      </c>
      <c r="L56" s="46" t="s">
        <v>31</v>
      </c>
      <c r="M56" s="46" t="s">
        <v>31</v>
      </c>
      <c r="N56" s="46" t="s">
        <v>31</v>
      </c>
      <c r="P56" s="410" t="s">
        <v>221</v>
      </c>
      <c r="Q56" s="411">
        <v>0.19</v>
      </c>
    </row>
    <row r="57" spans="1:25">
      <c r="A57" s="47" t="s">
        <v>900</v>
      </c>
      <c r="B57" s="46">
        <f>Q56</f>
        <v>0.19</v>
      </c>
      <c r="D57" s="46" t="s">
        <v>37</v>
      </c>
      <c r="E57" s="46" t="s">
        <v>40</v>
      </c>
      <c r="F57" s="46" t="s">
        <v>29</v>
      </c>
      <c r="G57" s="46" t="s">
        <v>58</v>
      </c>
      <c r="H57" s="46" t="s">
        <v>243</v>
      </c>
      <c r="I57" s="46">
        <v>2</v>
      </c>
      <c r="J57" s="46">
        <f t="shared" si="4"/>
        <v>-1.6607312068216509</v>
      </c>
      <c r="K57" s="46">
        <v>4.9999999999998969E-3</v>
      </c>
      <c r="L57" s="46" t="s">
        <v>31</v>
      </c>
      <c r="M57" s="46" t="s">
        <v>31</v>
      </c>
      <c r="N57" s="46" t="s">
        <v>31</v>
      </c>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2686D-64AF-42B8-9698-5F6C9E691443}">
  <sheetPr>
    <tabColor theme="8"/>
  </sheetPr>
  <dimension ref="A1:U362"/>
  <sheetViews>
    <sheetView zoomScale="85" zoomScaleNormal="85" workbookViewId="0">
      <selection activeCell="F24" sqref="F24"/>
    </sheetView>
  </sheetViews>
  <sheetFormatPr defaultRowHeight="1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62" t="s">
        <v>5</v>
      </c>
      <c r="B2" s="363" t="s">
        <v>968</v>
      </c>
      <c r="C2" s="364"/>
      <c r="D2" s="345"/>
      <c r="E2" s="345"/>
      <c r="F2" s="345"/>
      <c r="G2" s="345"/>
      <c r="H2" s="345"/>
      <c r="I2" s="345"/>
      <c r="J2" s="345"/>
      <c r="K2" s="345"/>
      <c r="L2" s="345"/>
      <c r="M2" s="345"/>
      <c r="N2" s="46"/>
      <c r="O2" s="46"/>
      <c r="P2" s="46"/>
      <c r="Q2" s="46"/>
      <c r="R2" s="46"/>
      <c r="S2" s="46"/>
      <c r="T2" s="46"/>
      <c r="U2" s="46"/>
    </row>
    <row r="3" spans="1:21">
      <c r="A3" s="338" t="s">
        <v>7</v>
      </c>
      <c r="B3" s="46" t="s">
        <v>779</v>
      </c>
      <c r="C3" s="337"/>
      <c r="D3" s="46"/>
      <c r="E3" s="46"/>
      <c r="F3" s="46"/>
      <c r="G3" s="46"/>
      <c r="H3" s="46"/>
      <c r="I3" s="46"/>
      <c r="J3" s="46"/>
      <c r="K3" s="46"/>
      <c r="L3" s="46"/>
      <c r="M3" s="46"/>
      <c r="N3" s="46"/>
      <c r="O3" s="46"/>
      <c r="P3" s="46"/>
      <c r="Q3" s="46"/>
      <c r="R3" s="46"/>
      <c r="S3" s="46"/>
      <c r="T3" s="46"/>
      <c r="U3" s="46"/>
    </row>
    <row r="4" spans="1:21">
      <c r="A4" s="338" t="s">
        <v>9</v>
      </c>
      <c r="B4" s="46" t="s">
        <v>1007</v>
      </c>
      <c r="C4" s="337"/>
      <c r="D4" s="46"/>
      <c r="E4" s="46"/>
      <c r="F4" s="46"/>
      <c r="G4" s="46"/>
      <c r="H4" s="46"/>
      <c r="I4" s="46"/>
      <c r="J4" s="46"/>
      <c r="K4" s="46"/>
      <c r="L4" s="46"/>
      <c r="M4" s="46"/>
      <c r="N4" s="46"/>
      <c r="O4" s="46"/>
      <c r="P4" s="46"/>
      <c r="Q4" s="46"/>
      <c r="R4" s="46"/>
      <c r="S4" s="46"/>
      <c r="T4" s="46"/>
      <c r="U4" s="46"/>
    </row>
    <row r="5" spans="1:21" ht="16.5" customHeight="1">
      <c r="A5" s="338" t="s">
        <v>11</v>
      </c>
      <c r="B5" s="339" t="s">
        <v>789</v>
      </c>
      <c r="C5" s="46"/>
      <c r="D5" s="46"/>
      <c r="E5" s="46"/>
      <c r="F5" s="46"/>
      <c r="G5" s="46"/>
      <c r="H5" s="46"/>
      <c r="I5" s="46"/>
      <c r="J5" s="46"/>
      <c r="K5" s="46"/>
      <c r="L5" s="46"/>
      <c r="M5" s="46"/>
      <c r="N5" s="46"/>
      <c r="O5" s="46"/>
      <c r="P5" s="46"/>
      <c r="Q5" s="46"/>
      <c r="R5" s="46"/>
      <c r="S5" s="46"/>
      <c r="T5" s="46"/>
      <c r="U5" s="46"/>
    </row>
    <row r="6" spans="1:21">
      <c r="A6" s="338" t="s">
        <v>13</v>
      </c>
      <c r="B6" s="46" t="s">
        <v>14</v>
      </c>
      <c r="C6" s="46"/>
      <c r="D6" s="46"/>
      <c r="E6" s="46"/>
      <c r="F6" s="46"/>
      <c r="G6" s="46"/>
      <c r="H6" s="46"/>
      <c r="I6" s="46"/>
      <c r="J6" s="46"/>
      <c r="K6" s="46"/>
      <c r="L6" s="46"/>
      <c r="M6" s="46"/>
      <c r="N6" s="46"/>
      <c r="O6" s="46"/>
      <c r="P6" s="46"/>
      <c r="Q6" s="46"/>
      <c r="R6" s="46"/>
      <c r="S6" s="46"/>
      <c r="T6" s="46"/>
      <c r="U6" s="46"/>
    </row>
    <row r="7" spans="1:21">
      <c r="A7" s="338" t="s">
        <v>15</v>
      </c>
      <c r="B7" s="46">
        <f>B12</f>
        <v>0.19</v>
      </c>
      <c r="C7" s="46"/>
      <c r="D7" s="46"/>
      <c r="E7" s="46"/>
      <c r="F7" s="46"/>
      <c r="G7" s="46"/>
      <c r="H7" s="46"/>
      <c r="I7" s="46"/>
      <c r="J7" s="46"/>
      <c r="K7" s="46"/>
      <c r="L7" s="46"/>
      <c r="M7" s="46"/>
      <c r="N7" s="46"/>
      <c r="O7" s="46" t="s">
        <v>1008</v>
      </c>
      <c r="P7" s="46"/>
      <c r="Q7" s="46"/>
      <c r="R7" s="46"/>
      <c r="S7" s="46"/>
      <c r="T7" s="46"/>
      <c r="U7" s="46"/>
    </row>
    <row r="8" spans="1:21">
      <c r="A8" s="338" t="s">
        <v>16</v>
      </c>
      <c r="B8" s="46" t="s">
        <v>17</v>
      </c>
      <c r="C8" s="46"/>
      <c r="D8" s="46"/>
      <c r="E8" s="46"/>
      <c r="F8" s="46"/>
      <c r="G8" s="46"/>
      <c r="H8" s="46"/>
      <c r="I8" s="46"/>
      <c r="J8" s="46"/>
      <c r="K8" s="46"/>
      <c r="L8" s="46"/>
      <c r="M8" s="46"/>
      <c r="N8" s="46"/>
      <c r="O8" s="46"/>
      <c r="P8" s="46"/>
      <c r="Q8" s="46"/>
      <c r="R8" s="46"/>
      <c r="S8" s="46"/>
      <c r="T8" s="46"/>
      <c r="U8" s="46"/>
    </row>
    <row r="9" spans="1:21">
      <c r="A9" s="338" t="s">
        <v>18</v>
      </c>
      <c r="B9" s="46" t="s">
        <v>37</v>
      </c>
      <c r="C9" s="46"/>
      <c r="D9" s="46"/>
      <c r="E9" s="46"/>
      <c r="F9" s="46"/>
      <c r="G9" s="46"/>
      <c r="H9" s="46"/>
      <c r="I9" s="46"/>
      <c r="J9" s="46"/>
      <c r="K9" s="46"/>
      <c r="L9" s="46"/>
      <c r="M9" s="46"/>
      <c r="N9" s="46"/>
      <c r="O9" s="46"/>
      <c r="P9" s="46"/>
      <c r="Q9" s="46"/>
      <c r="R9" s="46"/>
      <c r="S9" s="46"/>
      <c r="T9" s="46"/>
      <c r="U9" s="46"/>
    </row>
    <row r="10" spans="1:21">
      <c r="A10" s="335" t="s">
        <v>19</v>
      </c>
      <c r="B10" s="46"/>
      <c r="C10" s="46"/>
      <c r="D10" s="46"/>
      <c r="E10" s="46"/>
      <c r="F10" s="46"/>
      <c r="G10" s="46"/>
      <c r="H10" s="46"/>
      <c r="I10" s="46"/>
      <c r="J10" s="46"/>
      <c r="K10" s="46"/>
      <c r="L10" s="46"/>
      <c r="M10" s="46"/>
      <c r="N10" s="46"/>
      <c r="O10" s="46"/>
      <c r="P10" s="46"/>
      <c r="Q10" s="46"/>
      <c r="R10" s="46"/>
      <c r="S10" s="46"/>
      <c r="T10" s="46"/>
      <c r="U10" s="46"/>
    </row>
    <row r="11" spans="1:21">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c r="O11" s="46"/>
      <c r="P11" s="46"/>
      <c r="Q11" s="46"/>
      <c r="R11" s="46"/>
      <c r="S11" s="46"/>
      <c r="T11" s="46"/>
      <c r="U11" s="46"/>
    </row>
    <row r="12" spans="1:21">
      <c r="A12" s="338" t="s">
        <v>968</v>
      </c>
      <c r="B12" s="46">
        <f>'2B. ISOLATING DCDC CONVERTER'!B16</f>
        <v>0.19</v>
      </c>
      <c r="C12" s="46" t="s">
        <v>37</v>
      </c>
      <c r="D12" s="400" t="s">
        <v>2</v>
      </c>
      <c r="E12" s="46" t="s">
        <v>29</v>
      </c>
      <c r="F12" s="32" t="s">
        <v>14</v>
      </c>
      <c r="G12" s="46" t="s">
        <v>30</v>
      </c>
      <c r="H12" s="46">
        <v>1</v>
      </c>
      <c r="I12" s="46">
        <v>2.8722813232690055E-2</v>
      </c>
      <c r="J12" s="46" t="s">
        <v>31</v>
      </c>
      <c r="K12" s="46" t="s">
        <v>31</v>
      </c>
      <c r="L12" s="46" t="s">
        <v>31</v>
      </c>
      <c r="M12" s="46" t="s">
        <v>31</v>
      </c>
      <c r="N12" s="46"/>
      <c r="O12" s="46"/>
      <c r="P12" s="46"/>
      <c r="Q12" s="46"/>
      <c r="R12" s="46"/>
      <c r="S12" s="46"/>
      <c r="T12" s="46"/>
      <c r="U12" s="46"/>
    </row>
    <row r="13" spans="1:21">
      <c r="A13" s="46" t="s">
        <v>1009</v>
      </c>
      <c r="B13" s="46">
        <v>1</v>
      </c>
      <c r="C13" s="46" t="s">
        <v>18</v>
      </c>
      <c r="D13" s="400" t="s">
        <v>2</v>
      </c>
      <c r="E13" s="46" t="s">
        <v>29</v>
      </c>
      <c r="F13" s="32" t="s">
        <v>14</v>
      </c>
      <c r="G13" s="46" t="s">
        <v>33</v>
      </c>
      <c r="H13" s="46">
        <v>1</v>
      </c>
      <c r="I13" s="407">
        <f>B13</f>
        <v>1</v>
      </c>
      <c r="J13" s="46" t="s">
        <v>31</v>
      </c>
      <c r="K13" s="46" t="s">
        <v>31</v>
      </c>
      <c r="L13" s="46" t="s">
        <v>31</v>
      </c>
      <c r="M13" s="46" t="s">
        <v>31</v>
      </c>
      <c r="N13" s="46"/>
      <c r="O13" s="46"/>
      <c r="P13" s="46"/>
      <c r="Q13" s="46"/>
      <c r="R13" s="46"/>
      <c r="S13" s="46"/>
      <c r="T13" s="46"/>
      <c r="U13" s="46"/>
    </row>
    <row r="14" spans="1:21">
      <c r="A14" s="46" t="s">
        <v>1010</v>
      </c>
      <c r="B14" s="46">
        <v>1</v>
      </c>
      <c r="C14" s="46" t="s">
        <v>18</v>
      </c>
      <c r="D14" s="400" t="s">
        <v>2</v>
      </c>
      <c r="E14" s="46" t="s">
        <v>29</v>
      </c>
      <c r="F14" s="32" t="s">
        <v>14</v>
      </c>
      <c r="G14" s="46" t="s">
        <v>33</v>
      </c>
      <c r="H14" s="46">
        <v>1</v>
      </c>
      <c r="I14" s="407">
        <f>B14</f>
        <v>1</v>
      </c>
      <c r="J14" s="46" t="s">
        <v>31</v>
      </c>
      <c r="K14" s="46" t="s">
        <v>31</v>
      </c>
      <c r="L14" s="46" t="s">
        <v>31</v>
      </c>
      <c r="M14" s="46" t="s">
        <v>31</v>
      </c>
      <c r="N14" s="46"/>
      <c r="O14" s="46"/>
      <c r="P14" s="46"/>
      <c r="Q14" s="46"/>
      <c r="R14" s="46"/>
      <c r="S14" s="46"/>
      <c r="T14" s="46"/>
      <c r="U14" s="46"/>
    </row>
    <row r="15" spans="1:21">
      <c r="A15" s="47" t="s">
        <v>601</v>
      </c>
      <c r="B15" s="384">
        <f>R15</f>
        <v>1.8E-5</v>
      </c>
      <c r="C15" s="46" t="s">
        <v>37</v>
      </c>
      <c r="D15" s="46" t="s">
        <v>40</v>
      </c>
      <c r="E15" s="46" t="s">
        <v>29</v>
      </c>
      <c r="F15" s="32" t="s">
        <v>35</v>
      </c>
      <c r="G15" s="46" t="s">
        <v>33</v>
      </c>
      <c r="H15" s="46">
        <v>2</v>
      </c>
      <c r="I15" s="46">
        <f>LN(B15)</f>
        <v>-10.92513880006811</v>
      </c>
      <c r="J15" s="46">
        <v>2.8722813232690055E-2</v>
      </c>
      <c r="K15" s="46" t="s">
        <v>31</v>
      </c>
      <c r="L15" s="46" t="s">
        <v>31</v>
      </c>
      <c r="M15" s="46" t="s">
        <v>31</v>
      </c>
      <c r="N15" s="46"/>
      <c r="O15" s="375" t="s">
        <v>575</v>
      </c>
      <c r="P15" s="444">
        <v>1.7999999999999999E-2</v>
      </c>
      <c r="Q15" s="46" t="s">
        <v>221</v>
      </c>
      <c r="R15" s="384">
        <f>P15*0.001</f>
        <v>1.8E-5</v>
      </c>
      <c r="S15" s="46"/>
      <c r="T15" s="46"/>
      <c r="U15" s="46"/>
    </row>
    <row r="16" spans="1:21">
      <c r="A16" s="362" t="s">
        <v>5</v>
      </c>
      <c r="B16" s="363" t="s">
        <v>1010</v>
      </c>
      <c r="C16" s="364"/>
      <c r="D16" s="345"/>
      <c r="E16" s="345"/>
      <c r="F16" s="345"/>
      <c r="G16" s="345"/>
      <c r="H16" s="345"/>
      <c r="I16" s="345"/>
      <c r="J16" s="345"/>
      <c r="K16" s="345"/>
      <c r="L16" s="345"/>
      <c r="M16" s="345"/>
      <c r="N16" s="46"/>
      <c r="O16" s="46"/>
      <c r="P16" s="46"/>
      <c r="Q16" s="46"/>
      <c r="R16" s="46"/>
      <c r="S16" s="46"/>
      <c r="T16" s="46"/>
      <c r="U16" s="46"/>
    </row>
    <row r="17" spans="1:21">
      <c r="A17" s="338" t="s">
        <v>7</v>
      </c>
      <c r="B17" s="46" t="s">
        <v>779</v>
      </c>
      <c r="C17" s="337"/>
      <c r="D17" s="46"/>
      <c r="E17" s="46"/>
      <c r="F17" s="46"/>
      <c r="G17" s="46"/>
      <c r="H17" s="46"/>
      <c r="I17" s="46"/>
      <c r="J17" s="46"/>
      <c r="K17" s="46"/>
      <c r="L17" s="46"/>
      <c r="M17" s="46"/>
      <c r="N17" s="46"/>
      <c r="O17" s="46"/>
      <c r="P17" s="46"/>
      <c r="Q17" s="46"/>
      <c r="R17" s="46"/>
      <c r="S17" s="46"/>
      <c r="T17" s="46"/>
      <c r="U17" s="46"/>
    </row>
    <row r="18" spans="1:21">
      <c r="A18" s="338" t="s">
        <v>9</v>
      </c>
      <c r="B18" s="46" t="s">
        <v>1011</v>
      </c>
      <c r="C18" s="337"/>
      <c r="D18" s="46"/>
      <c r="E18" s="46"/>
      <c r="F18" s="46"/>
      <c r="G18" s="46"/>
      <c r="H18" s="46"/>
      <c r="I18" s="46"/>
      <c r="J18" s="46"/>
      <c r="K18" s="46"/>
      <c r="L18" s="46"/>
      <c r="M18" s="46"/>
      <c r="N18" s="46"/>
      <c r="O18" s="46"/>
      <c r="P18" s="46"/>
      <c r="Q18" s="46"/>
      <c r="R18" s="46"/>
      <c r="S18" s="46"/>
      <c r="T18" s="46"/>
      <c r="U18" s="46"/>
    </row>
    <row r="19" spans="1:21" ht="16.5" customHeight="1">
      <c r="A19" s="338" t="s">
        <v>11</v>
      </c>
      <c r="B19" s="339" t="s">
        <v>789</v>
      </c>
      <c r="C19" s="46"/>
      <c r="D19" s="46"/>
      <c r="E19" s="46"/>
      <c r="F19" s="46"/>
      <c r="G19" s="46"/>
      <c r="H19" s="46"/>
      <c r="I19" s="46"/>
      <c r="J19" s="46"/>
      <c r="K19" s="46"/>
      <c r="L19" s="46"/>
      <c r="M19" s="46"/>
      <c r="N19" s="46"/>
      <c r="O19" s="46"/>
      <c r="P19" s="46"/>
      <c r="Q19" s="46"/>
      <c r="R19" s="46"/>
      <c r="S19" s="46"/>
      <c r="T19" s="46"/>
      <c r="U19" s="46"/>
    </row>
    <row r="20" spans="1:21">
      <c r="A20" s="338" t="s">
        <v>13</v>
      </c>
      <c r="B20" s="46" t="s">
        <v>14</v>
      </c>
      <c r="C20" s="46"/>
      <c r="D20" s="46"/>
      <c r="E20" s="46"/>
      <c r="F20" s="46"/>
      <c r="G20" s="46"/>
      <c r="H20" s="46"/>
      <c r="I20" s="46"/>
      <c r="J20" s="46"/>
      <c r="K20" s="46"/>
      <c r="L20" s="46"/>
      <c r="M20" s="46"/>
      <c r="N20" s="46"/>
      <c r="O20" s="46"/>
      <c r="P20" s="46"/>
      <c r="Q20" s="46"/>
      <c r="R20" s="46"/>
      <c r="S20" s="46"/>
      <c r="T20" s="46"/>
      <c r="U20" s="46"/>
    </row>
    <row r="21" spans="1:21">
      <c r="A21" s="338" t="s">
        <v>15</v>
      </c>
      <c r="B21" s="46">
        <v>1</v>
      </c>
      <c r="C21" s="46"/>
      <c r="D21" s="46"/>
      <c r="E21" s="46"/>
      <c r="F21" s="46"/>
      <c r="G21" s="46"/>
      <c r="H21" s="46"/>
      <c r="I21" s="46"/>
      <c r="J21" s="46"/>
      <c r="K21" s="46"/>
      <c r="L21" s="46"/>
      <c r="M21" s="46"/>
      <c r="N21" s="46"/>
      <c r="O21" s="46"/>
      <c r="P21" s="46"/>
      <c r="Q21" s="46"/>
      <c r="R21" s="46"/>
      <c r="S21" s="46"/>
      <c r="T21" s="46"/>
      <c r="U21" s="46"/>
    </row>
    <row r="22" spans="1:21">
      <c r="A22" s="338" t="s">
        <v>16</v>
      </c>
      <c r="B22" s="46" t="s">
        <v>17</v>
      </c>
      <c r="C22" s="46"/>
      <c r="D22" s="46"/>
      <c r="E22" s="46"/>
      <c r="F22" s="46"/>
      <c r="G22" s="46"/>
      <c r="H22" s="46"/>
      <c r="I22" s="46"/>
      <c r="J22" s="46"/>
      <c r="K22" s="46"/>
      <c r="L22" s="46"/>
      <c r="M22" s="46"/>
      <c r="N22" s="46"/>
      <c r="O22" s="46"/>
      <c r="P22" s="46"/>
      <c r="Q22" s="46"/>
      <c r="R22" s="46"/>
      <c r="S22" s="46"/>
      <c r="T22" s="46"/>
      <c r="U22" s="46"/>
    </row>
    <row r="23" spans="1:21">
      <c r="A23" s="338" t="s">
        <v>18</v>
      </c>
      <c r="B23" s="46" t="s">
        <v>18</v>
      </c>
      <c r="C23" s="46"/>
      <c r="D23" s="46"/>
      <c r="E23" s="46"/>
      <c r="F23" s="46"/>
      <c r="G23" s="46"/>
      <c r="H23" s="46"/>
      <c r="I23" s="46"/>
      <c r="J23" s="46"/>
      <c r="K23" s="46"/>
      <c r="L23" s="46"/>
      <c r="M23" s="46"/>
      <c r="N23" s="46"/>
      <c r="O23" s="46"/>
      <c r="P23" s="46"/>
      <c r="Q23" s="46"/>
      <c r="R23" s="46"/>
      <c r="S23" s="46"/>
      <c r="T23" s="46"/>
      <c r="U23" s="46"/>
    </row>
    <row r="24" spans="1:21">
      <c r="A24" s="335" t="s">
        <v>19</v>
      </c>
      <c r="B24" s="46"/>
      <c r="C24" s="46"/>
      <c r="D24" s="46"/>
      <c r="E24" s="46"/>
      <c r="F24" s="46"/>
      <c r="G24" s="46"/>
      <c r="H24" s="46"/>
      <c r="I24" s="46"/>
      <c r="J24" s="46"/>
      <c r="K24" s="46"/>
      <c r="L24" s="46"/>
      <c r="M24" s="46"/>
      <c r="N24" s="46"/>
      <c r="O24" s="46"/>
      <c r="P24" s="46"/>
      <c r="Q24" s="46"/>
      <c r="R24" s="46"/>
      <c r="S24" s="46"/>
      <c r="T24" s="46"/>
      <c r="U24" s="46"/>
    </row>
    <row r="25" spans="1:21">
      <c r="A25" s="335" t="s">
        <v>20</v>
      </c>
      <c r="B25" s="336" t="s">
        <v>21</v>
      </c>
      <c r="C25" s="336" t="s">
        <v>18</v>
      </c>
      <c r="D25" s="336" t="s">
        <v>22</v>
      </c>
      <c r="E25" s="336" t="s">
        <v>7</v>
      </c>
      <c r="F25" s="336" t="s">
        <v>13</v>
      </c>
      <c r="G25" s="336" t="s">
        <v>16</v>
      </c>
      <c r="H25" s="336" t="s">
        <v>23</v>
      </c>
      <c r="I25" s="336" t="s">
        <v>24</v>
      </c>
      <c r="J25" s="336" t="s">
        <v>25</v>
      </c>
      <c r="K25" s="336" t="s">
        <v>26</v>
      </c>
      <c r="L25" s="336" t="s">
        <v>27</v>
      </c>
      <c r="M25" s="336" t="s">
        <v>28</v>
      </c>
      <c r="N25" s="336" t="s">
        <v>11</v>
      </c>
      <c r="O25" s="46"/>
      <c r="P25" s="46"/>
      <c r="Q25" s="46"/>
      <c r="R25" s="46"/>
      <c r="S25" s="46"/>
      <c r="T25" s="46"/>
      <c r="U25" s="46"/>
    </row>
    <row r="26" spans="1:21">
      <c r="A26" s="46" t="s">
        <v>1010</v>
      </c>
      <c r="B26" s="46">
        <v>1</v>
      </c>
      <c r="C26" s="46" t="s">
        <v>18</v>
      </c>
      <c r="D26" s="400" t="s">
        <v>2</v>
      </c>
      <c r="E26" s="46" t="s">
        <v>29</v>
      </c>
      <c r="F26" s="32" t="s">
        <v>14</v>
      </c>
      <c r="G26" s="46" t="s">
        <v>30</v>
      </c>
      <c r="H26" s="46">
        <v>1</v>
      </c>
      <c r="I26" s="407">
        <f>B26</f>
        <v>1</v>
      </c>
      <c r="J26" s="46" t="s">
        <v>31</v>
      </c>
      <c r="K26" s="46" t="s">
        <v>31</v>
      </c>
      <c r="L26" s="46" t="s">
        <v>31</v>
      </c>
      <c r="M26" s="46" t="s">
        <v>31</v>
      </c>
      <c r="N26" s="46"/>
      <c r="O26" s="46"/>
      <c r="P26" s="46"/>
      <c r="Q26" s="46"/>
      <c r="R26" s="46"/>
      <c r="S26" s="46"/>
      <c r="T26" s="46"/>
      <c r="U26" s="46"/>
    </row>
    <row r="27" spans="1:21">
      <c r="A27" s="47" t="s">
        <v>610</v>
      </c>
      <c r="B27" s="46">
        <v>0.04</v>
      </c>
      <c r="C27" s="46" t="s">
        <v>37</v>
      </c>
      <c r="D27" s="46" t="s">
        <v>40</v>
      </c>
      <c r="E27" s="46" t="s">
        <v>29</v>
      </c>
      <c r="F27" s="46" t="s">
        <v>58</v>
      </c>
      <c r="G27" s="46" t="s">
        <v>33</v>
      </c>
      <c r="H27" s="46">
        <v>1</v>
      </c>
      <c r="I27" s="407">
        <f>B27</f>
        <v>0.04</v>
      </c>
      <c r="J27" s="46" t="s">
        <v>31</v>
      </c>
      <c r="K27" s="46" t="s">
        <v>31</v>
      </c>
      <c r="L27" s="46" t="s">
        <v>31</v>
      </c>
      <c r="M27" s="46" t="s">
        <v>31</v>
      </c>
      <c r="N27" s="46"/>
      <c r="O27" s="46"/>
      <c r="P27" s="46"/>
      <c r="Q27" s="46"/>
      <c r="R27" s="46"/>
      <c r="S27" s="46"/>
      <c r="T27" s="46"/>
      <c r="U27" s="46"/>
    </row>
    <row r="28" spans="1:21">
      <c r="A28" s="47" t="s">
        <v>908</v>
      </c>
      <c r="B28" s="46">
        <f>R28</f>
        <v>2.9000000000000001E-2</v>
      </c>
      <c r="C28" s="46" t="s">
        <v>37</v>
      </c>
      <c r="D28" s="46" t="s">
        <v>40</v>
      </c>
      <c r="E28" s="46" t="s">
        <v>29</v>
      </c>
      <c r="F28" s="46" t="s">
        <v>58</v>
      </c>
      <c r="G28" s="46" t="s">
        <v>33</v>
      </c>
      <c r="H28" s="46">
        <v>2</v>
      </c>
      <c r="I28" s="46">
        <f>LN(B28)</f>
        <v>-3.5404594489956631</v>
      </c>
      <c r="J28" s="46">
        <v>3.7749172176353707E-2</v>
      </c>
      <c r="K28" s="46" t="s">
        <v>31</v>
      </c>
      <c r="L28" s="46" t="s">
        <v>31</v>
      </c>
      <c r="M28" s="46" t="s">
        <v>31</v>
      </c>
      <c r="N28" s="46"/>
      <c r="O28" s="393" t="s">
        <v>575</v>
      </c>
      <c r="P28" s="406">
        <v>29</v>
      </c>
      <c r="Q28" s="46" t="s">
        <v>221</v>
      </c>
      <c r="R28" s="46">
        <f>P28*0.001</f>
        <v>2.9000000000000001E-2</v>
      </c>
      <c r="S28" s="46"/>
      <c r="T28" s="46"/>
      <c r="U28" s="46"/>
    </row>
    <row r="29" spans="1:21">
      <c r="A29" s="47" t="s">
        <v>909</v>
      </c>
      <c r="B29" s="46">
        <f>R29</f>
        <v>1.8000000000000002E-3</v>
      </c>
      <c r="C29" s="46" t="s">
        <v>37</v>
      </c>
      <c r="D29" s="46" t="s">
        <v>40</v>
      </c>
      <c r="E29" s="46" t="s">
        <v>29</v>
      </c>
      <c r="F29" s="46" t="s">
        <v>58</v>
      </c>
      <c r="G29" s="46" t="s">
        <v>33</v>
      </c>
      <c r="H29" s="46">
        <v>2</v>
      </c>
      <c r="I29" s="46">
        <f>LN(B29)</f>
        <v>-6.3199686140800182</v>
      </c>
      <c r="J29" s="46">
        <v>3.7749172176353707E-2</v>
      </c>
      <c r="K29" s="46" t="s">
        <v>31</v>
      </c>
      <c r="L29" s="46" t="s">
        <v>31</v>
      </c>
      <c r="M29" s="46" t="s">
        <v>31</v>
      </c>
      <c r="N29" s="46"/>
      <c r="O29" s="393" t="s">
        <v>575</v>
      </c>
      <c r="P29" s="406">
        <v>1.8</v>
      </c>
      <c r="Q29" s="46" t="s">
        <v>221</v>
      </c>
      <c r="R29" s="46">
        <f t="shared" ref="R29:R30" si="0">P29*0.001</f>
        <v>1.8000000000000002E-3</v>
      </c>
      <c r="S29" s="46"/>
      <c r="T29" s="46"/>
      <c r="U29" s="46"/>
    </row>
    <row r="30" spans="1:21">
      <c r="A30" s="47" t="s">
        <v>910</v>
      </c>
      <c r="B30" s="46">
        <f>R30</f>
        <v>1.3000000000000001E-2</v>
      </c>
      <c r="C30" s="46" t="s">
        <v>37</v>
      </c>
      <c r="D30" s="46" t="s">
        <v>40</v>
      </c>
      <c r="E30" s="46" t="s">
        <v>29</v>
      </c>
      <c r="F30" s="46" t="s">
        <v>58</v>
      </c>
      <c r="G30" s="46" t="s">
        <v>33</v>
      </c>
      <c r="H30" s="46">
        <v>2</v>
      </c>
      <c r="I30" s="46">
        <f>LN(B30)</f>
        <v>-4.3428059215206005</v>
      </c>
      <c r="J30" s="46">
        <v>3.7749172176353707E-2</v>
      </c>
      <c r="K30" s="46" t="s">
        <v>31</v>
      </c>
      <c r="L30" s="46" t="s">
        <v>31</v>
      </c>
      <c r="M30" s="46" t="s">
        <v>31</v>
      </c>
      <c r="N30" s="46"/>
      <c r="O30" s="393" t="s">
        <v>575</v>
      </c>
      <c r="P30" s="406">
        <v>13</v>
      </c>
      <c r="Q30" s="46" t="s">
        <v>221</v>
      </c>
      <c r="R30" s="46">
        <f t="shared" si="0"/>
        <v>1.3000000000000001E-2</v>
      </c>
      <c r="S30" s="46"/>
      <c r="T30" s="46"/>
      <c r="U30" s="46"/>
    </row>
    <row r="31" spans="1:21">
      <c r="A31" s="362" t="s">
        <v>5</v>
      </c>
      <c r="B31" s="363" t="s">
        <v>1009</v>
      </c>
      <c r="C31" s="364"/>
      <c r="D31" s="345"/>
      <c r="E31" s="345"/>
      <c r="F31" s="345"/>
      <c r="G31" s="345"/>
      <c r="H31" s="345"/>
      <c r="I31" s="345"/>
      <c r="J31" s="345"/>
      <c r="K31" s="345"/>
      <c r="L31" s="345"/>
      <c r="M31" s="345"/>
      <c r="N31" s="46"/>
      <c r="O31" s="46"/>
      <c r="P31" s="46"/>
      <c r="Q31" s="46"/>
      <c r="R31" s="46"/>
      <c r="S31" s="46"/>
      <c r="T31" s="46"/>
      <c r="U31" s="46"/>
    </row>
    <row r="32" spans="1:21">
      <c r="A32" s="338" t="s">
        <v>7</v>
      </c>
      <c r="B32" s="46" t="s">
        <v>779</v>
      </c>
      <c r="C32" s="337"/>
      <c r="D32" s="46"/>
      <c r="E32" s="46"/>
      <c r="F32" s="46"/>
      <c r="G32" s="46"/>
      <c r="H32" s="46"/>
      <c r="I32" s="46"/>
      <c r="J32" s="46"/>
      <c r="K32" s="46"/>
      <c r="L32" s="46"/>
      <c r="M32" s="46"/>
      <c r="N32" s="46"/>
      <c r="O32" s="46"/>
      <c r="P32" s="46"/>
      <c r="Q32" s="46"/>
      <c r="R32" s="46"/>
      <c r="S32" s="46"/>
      <c r="T32" s="46"/>
      <c r="U32" s="46"/>
    </row>
    <row r="33" spans="1:21">
      <c r="A33" s="338" t="s">
        <v>9</v>
      </c>
      <c r="B33" s="46" t="s">
        <v>1012</v>
      </c>
      <c r="C33" s="337"/>
      <c r="D33" s="46"/>
      <c r="E33" s="46"/>
      <c r="F33" s="46"/>
      <c r="G33" s="46"/>
      <c r="H33" s="46"/>
      <c r="I33" s="46"/>
      <c r="J33" s="46"/>
      <c r="K33" s="46"/>
      <c r="L33" s="46"/>
      <c r="M33" s="46"/>
      <c r="N33" s="46"/>
      <c r="O33" s="46"/>
      <c r="P33" s="46"/>
      <c r="Q33" s="46"/>
      <c r="R33" s="46"/>
      <c r="S33" s="46"/>
      <c r="T33" s="46"/>
      <c r="U33" s="46"/>
    </row>
    <row r="34" spans="1:21" ht="18" customHeight="1">
      <c r="A34" s="338" t="s">
        <v>11</v>
      </c>
      <c r="B34" s="339" t="s">
        <v>789</v>
      </c>
      <c r="C34" s="46"/>
      <c r="D34" s="46"/>
      <c r="E34" s="46"/>
      <c r="F34" s="46"/>
      <c r="G34" s="46"/>
      <c r="H34" s="46"/>
      <c r="I34" s="46"/>
      <c r="J34" s="46"/>
      <c r="K34" s="46"/>
      <c r="L34" s="46"/>
      <c r="M34" s="46"/>
      <c r="N34" s="46"/>
      <c r="O34" s="46"/>
      <c r="P34" s="46"/>
      <c r="Q34" s="46"/>
      <c r="R34" s="46"/>
      <c r="S34" s="46"/>
      <c r="T34" s="46"/>
      <c r="U34" s="46"/>
    </row>
    <row r="35" spans="1:21">
      <c r="A35" s="338" t="s">
        <v>13</v>
      </c>
      <c r="B35" s="46" t="s">
        <v>14</v>
      </c>
      <c r="C35" s="46"/>
      <c r="D35" s="46"/>
      <c r="E35" s="46"/>
      <c r="F35" s="46"/>
      <c r="G35" s="46"/>
      <c r="H35" s="46"/>
      <c r="I35" s="46"/>
      <c r="J35" s="46"/>
      <c r="K35" s="46"/>
      <c r="L35" s="46"/>
      <c r="M35" s="46"/>
      <c r="N35" s="46"/>
      <c r="O35" s="46"/>
      <c r="P35" s="46"/>
      <c r="Q35" s="46"/>
      <c r="R35" s="46"/>
      <c r="S35" s="46"/>
      <c r="T35" s="46"/>
      <c r="U35" s="46"/>
    </row>
    <row r="36" spans="1:21">
      <c r="A36" s="338" t="s">
        <v>15</v>
      </c>
      <c r="B36" s="46">
        <v>1</v>
      </c>
      <c r="C36" s="46"/>
      <c r="D36" s="46"/>
      <c r="E36" s="46"/>
      <c r="F36" s="46"/>
      <c r="G36" s="46"/>
      <c r="H36" s="46"/>
      <c r="I36" s="46"/>
      <c r="J36" s="46"/>
      <c r="K36" s="46"/>
      <c r="L36" s="46"/>
      <c r="M36" s="46"/>
      <c r="N36" s="46"/>
      <c r="O36" s="46"/>
      <c r="P36" s="46"/>
      <c r="Q36" s="46"/>
      <c r="R36" s="46"/>
      <c r="S36" s="46"/>
      <c r="T36" s="46"/>
      <c r="U36" s="46"/>
    </row>
    <row r="37" spans="1:21">
      <c r="A37" s="338" t="s">
        <v>16</v>
      </c>
      <c r="B37" s="46" t="s">
        <v>17</v>
      </c>
      <c r="C37" s="46"/>
      <c r="D37" s="46"/>
      <c r="E37" s="46"/>
      <c r="F37" s="46"/>
      <c r="G37" s="46"/>
      <c r="H37" s="46"/>
      <c r="I37" s="46"/>
      <c r="J37" s="46"/>
      <c r="K37" s="46"/>
      <c r="L37" s="46"/>
      <c r="M37" s="46"/>
      <c r="N37" s="46"/>
      <c r="O37" s="46"/>
      <c r="P37" s="46"/>
      <c r="Q37" s="46"/>
      <c r="R37" s="46"/>
      <c r="S37" s="46"/>
      <c r="T37" s="46"/>
      <c r="U37" s="46"/>
    </row>
    <row r="38" spans="1:21">
      <c r="A38" s="338" t="s">
        <v>18</v>
      </c>
      <c r="B38" s="46" t="s">
        <v>18</v>
      </c>
      <c r="C38" s="46"/>
      <c r="D38" s="46"/>
      <c r="E38" s="46"/>
      <c r="F38" s="46"/>
      <c r="G38" s="46"/>
      <c r="H38" s="46"/>
      <c r="I38" s="46"/>
      <c r="J38" s="46"/>
      <c r="K38" s="46"/>
      <c r="L38" s="46"/>
      <c r="M38" s="46"/>
      <c r="N38" s="46"/>
      <c r="O38" s="46"/>
      <c r="P38" s="46"/>
      <c r="Q38" s="46"/>
      <c r="R38" s="46"/>
      <c r="S38" s="46"/>
      <c r="T38" s="46"/>
      <c r="U38" s="46"/>
    </row>
    <row r="39" spans="1:21">
      <c r="A39" s="335" t="s">
        <v>19</v>
      </c>
      <c r="B39" s="46"/>
      <c r="C39" s="46"/>
      <c r="D39" s="46"/>
      <c r="E39" s="46"/>
      <c r="F39" s="46"/>
      <c r="G39" s="46"/>
      <c r="H39" s="46"/>
      <c r="I39" s="46"/>
      <c r="J39" s="46"/>
      <c r="K39" s="46"/>
      <c r="L39" s="46"/>
      <c r="M39" s="46"/>
      <c r="N39" s="46"/>
      <c r="O39" s="46"/>
      <c r="P39" s="46"/>
      <c r="Q39" s="46"/>
      <c r="R39" s="46"/>
      <c r="S39" s="46"/>
      <c r="T39" s="46"/>
      <c r="U39" s="46"/>
    </row>
    <row r="40" spans="1:21">
      <c r="A40" s="335" t="s">
        <v>20</v>
      </c>
      <c r="B40" s="336" t="s">
        <v>21</v>
      </c>
      <c r="C40" s="336" t="s">
        <v>18</v>
      </c>
      <c r="D40" s="336" t="s">
        <v>22</v>
      </c>
      <c r="E40" s="336" t="s">
        <v>7</v>
      </c>
      <c r="F40" s="336" t="s">
        <v>13</v>
      </c>
      <c r="G40" s="336" t="s">
        <v>16</v>
      </c>
      <c r="H40" s="336" t="s">
        <v>23</v>
      </c>
      <c r="I40" s="336" t="s">
        <v>24</v>
      </c>
      <c r="J40" s="336" t="s">
        <v>25</v>
      </c>
      <c r="K40" s="336" t="s">
        <v>26</v>
      </c>
      <c r="L40" s="336" t="s">
        <v>27</v>
      </c>
      <c r="M40" s="336" t="s">
        <v>28</v>
      </c>
      <c r="N40" s="336" t="s">
        <v>11</v>
      </c>
      <c r="O40" s="46"/>
      <c r="P40" s="46"/>
      <c r="Q40" s="46"/>
      <c r="R40" s="46"/>
      <c r="S40" s="46"/>
      <c r="T40" s="46"/>
      <c r="U40" s="46"/>
    </row>
    <row r="41" spans="1:21">
      <c r="A41" s="46" t="s">
        <v>1009</v>
      </c>
      <c r="B41" s="46">
        <v>1</v>
      </c>
      <c r="C41" s="46" t="s">
        <v>18</v>
      </c>
      <c r="D41" s="400" t="s">
        <v>2</v>
      </c>
      <c r="E41" s="46" t="s">
        <v>29</v>
      </c>
      <c r="F41" s="32" t="s">
        <v>14</v>
      </c>
      <c r="G41" s="46" t="s">
        <v>30</v>
      </c>
      <c r="H41" s="46">
        <v>1</v>
      </c>
      <c r="I41" s="407">
        <f>B41</f>
        <v>1</v>
      </c>
      <c r="J41" s="46" t="s">
        <v>31</v>
      </c>
      <c r="K41" s="46" t="s">
        <v>31</v>
      </c>
      <c r="L41" s="46" t="s">
        <v>31</v>
      </c>
      <c r="M41" s="46" t="s">
        <v>31</v>
      </c>
      <c r="N41" s="46"/>
      <c r="O41" s="46"/>
      <c r="P41" s="46"/>
      <c r="Q41" s="46"/>
      <c r="R41" s="46"/>
      <c r="S41" s="46"/>
      <c r="T41" s="46"/>
      <c r="U41" s="46"/>
    </row>
    <row r="42" spans="1:21">
      <c r="A42" s="47" t="s">
        <v>1013</v>
      </c>
      <c r="B42" s="46">
        <f>B55</f>
        <v>1.4E-2</v>
      </c>
      <c r="C42" s="46" t="s">
        <v>37</v>
      </c>
      <c r="D42" s="400" t="s">
        <v>2</v>
      </c>
      <c r="E42" s="46" t="s">
        <v>29</v>
      </c>
      <c r="F42" s="32" t="s">
        <v>14</v>
      </c>
      <c r="G42" s="46" t="s">
        <v>33</v>
      </c>
      <c r="H42" s="46">
        <v>1</v>
      </c>
      <c r="I42" s="407">
        <f>B42</f>
        <v>1.4E-2</v>
      </c>
      <c r="J42" s="46" t="s">
        <v>31</v>
      </c>
      <c r="K42" s="46" t="s">
        <v>31</v>
      </c>
      <c r="L42" s="46" t="s">
        <v>31</v>
      </c>
      <c r="M42" s="46" t="s">
        <v>31</v>
      </c>
      <c r="N42" s="46"/>
      <c r="O42" s="393" t="s">
        <v>221</v>
      </c>
      <c r="P42" s="406">
        <v>0.02</v>
      </c>
      <c r="Q42" s="46" t="s">
        <v>221</v>
      </c>
      <c r="R42" s="46">
        <f>P42</f>
        <v>0.02</v>
      </c>
      <c r="S42" s="46"/>
      <c r="T42" s="46"/>
      <c r="U42" s="46"/>
    </row>
    <row r="43" spans="1:21">
      <c r="A43" s="47" t="s">
        <v>1014</v>
      </c>
      <c r="B43" s="46">
        <v>1</v>
      </c>
      <c r="C43" s="46" t="s">
        <v>18</v>
      </c>
      <c r="D43" s="400" t="s">
        <v>2</v>
      </c>
      <c r="E43" s="46" t="s">
        <v>29</v>
      </c>
      <c r="F43" s="32" t="s">
        <v>14</v>
      </c>
      <c r="G43" s="46" t="s">
        <v>33</v>
      </c>
      <c r="H43" s="46">
        <v>1</v>
      </c>
      <c r="I43" s="407">
        <f>B43</f>
        <v>1</v>
      </c>
      <c r="J43" s="46" t="s">
        <v>31</v>
      </c>
      <c r="K43" s="46" t="s">
        <v>31</v>
      </c>
      <c r="L43" s="46" t="s">
        <v>31</v>
      </c>
      <c r="M43" s="46" t="s">
        <v>31</v>
      </c>
      <c r="N43" s="46"/>
      <c r="O43" s="46"/>
      <c r="P43" s="46"/>
      <c r="Q43" s="46"/>
      <c r="R43" s="46"/>
      <c r="S43" s="46"/>
      <c r="T43" s="46"/>
      <c r="U43" s="46"/>
    </row>
    <row r="44" spans="1:21">
      <c r="A44" s="338" t="s">
        <v>75</v>
      </c>
      <c r="B44" s="350">
        <f>R44</f>
        <v>0.03</v>
      </c>
      <c r="C44" s="46" t="s">
        <v>39</v>
      </c>
      <c r="D44" s="46" t="s">
        <v>40</v>
      </c>
      <c r="E44" s="46" t="s">
        <v>29</v>
      </c>
      <c r="F44" s="32" t="s">
        <v>35</v>
      </c>
      <c r="G44" s="46" t="s">
        <v>33</v>
      </c>
      <c r="H44" s="46">
        <v>2</v>
      </c>
      <c r="I44" s="46">
        <f t="shared" ref="I44" si="1">LN(B44)</f>
        <v>-3.5065578973199818</v>
      </c>
      <c r="J44" s="46">
        <v>7.2284161474004766E-2</v>
      </c>
      <c r="K44" s="46" t="s">
        <v>31</v>
      </c>
      <c r="L44" s="46" t="s">
        <v>31</v>
      </c>
      <c r="M44" s="46" t="s">
        <v>31</v>
      </c>
      <c r="N44" s="46"/>
      <c r="O44" s="375" t="s">
        <v>216</v>
      </c>
      <c r="P44" s="385">
        <v>0.03</v>
      </c>
      <c r="Q44" s="46" t="s">
        <v>216</v>
      </c>
      <c r="R44" s="350">
        <f>P44</f>
        <v>0.03</v>
      </c>
      <c r="S44" s="46"/>
      <c r="T44" s="46"/>
      <c r="U44" s="46"/>
    </row>
    <row r="45" spans="1:21">
      <c r="A45" s="362" t="s">
        <v>5</v>
      </c>
      <c r="B45" s="363" t="s">
        <v>1013</v>
      </c>
      <c r="C45" s="364"/>
      <c r="D45" s="345"/>
      <c r="E45" s="345"/>
      <c r="F45" s="345"/>
      <c r="G45" s="345"/>
      <c r="H45" s="345"/>
      <c r="I45" s="345"/>
      <c r="J45" s="345"/>
      <c r="K45" s="345"/>
      <c r="L45" s="345"/>
      <c r="M45" s="345"/>
      <c r="N45" s="46"/>
      <c r="O45" s="46"/>
      <c r="P45" s="46"/>
      <c r="Q45" s="46"/>
      <c r="R45" s="46"/>
      <c r="S45" s="46"/>
      <c r="T45" s="46"/>
      <c r="U45" s="46"/>
    </row>
    <row r="46" spans="1:21">
      <c r="A46" s="338" t="s">
        <v>7</v>
      </c>
      <c r="B46" s="46" t="s">
        <v>779</v>
      </c>
      <c r="C46" s="337"/>
      <c r="D46" s="46"/>
      <c r="E46" s="46"/>
      <c r="F46" s="46"/>
      <c r="G46" s="46"/>
      <c r="H46" s="46"/>
      <c r="I46" s="46"/>
      <c r="J46" s="46"/>
      <c r="K46" s="46"/>
      <c r="L46" s="46"/>
      <c r="M46" s="46"/>
      <c r="N46" s="46"/>
      <c r="O46" s="46"/>
      <c r="P46" s="46"/>
      <c r="Q46" s="46"/>
      <c r="R46" s="46"/>
      <c r="S46" s="46"/>
      <c r="T46" s="46"/>
      <c r="U46" s="46"/>
    </row>
    <row r="47" spans="1:21">
      <c r="A47" s="338" t="s">
        <v>9</v>
      </c>
      <c r="B47" s="46" t="s">
        <v>1015</v>
      </c>
      <c r="C47" s="337"/>
      <c r="D47" s="46"/>
      <c r="E47" s="46"/>
      <c r="F47" s="46"/>
      <c r="G47" s="46"/>
      <c r="H47" s="46"/>
      <c r="I47" s="46"/>
      <c r="J47" s="46"/>
      <c r="K47" s="46"/>
      <c r="L47" s="46"/>
      <c r="M47" s="46"/>
      <c r="N47" s="46"/>
      <c r="O47" s="46"/>
      <c r="P47" s="46"/>
      <c r="Q47" s="46"/>
      <c r="R47" s="46"/>
      <c r="S47" s="46"/>
      <c r="T47" s="46"/>
      <c r="U47" s="46"/>
    </row>
    <row r="48" spans="1:21" ht="11.25" customHeight="1">
      <c r="A48" s="338" t="s">
        <v>11</v>
      </c>
      <c r="B48" s="339" t="s">
        <v>789</v>
      </c>
      <c r="C48" s="46"/>
      <c r="D48" s="46"/>
      <c r="E48" s="46"/>
      <c r="F48" s="46"/>
      <c r="G48" s="46"/>
      <c r="H48" s="46"/>
      <c r="I48" s="46"/>
      <c r="J48" s="46"/>
      <c r="K48" s="46"/>
      <c r="L48" s="46"/>
      <c r="M48" s="46"/>
      <c r="N48" s="46"/>
      <c r="O48" s="46"/>
      <c r="P48" s="46"/>
      <c r="Q48" s="46"/>
      <c r="R48" s="46"/>
      <c r="S48" s="46"/>
      <c r="T48" s="46"/>
      <c r="U48" s="46"/>
    </row>
    <row r="49" spans="1:21">
      <c r="A49" s="338" t="s">
        <v>13</v>
      </c>
      <c r="B49" s="46" t="s">
        <v>14</v>
      </c>
      <c r="C49" s="46"/>
      <c r="D49" s="46"/>
      <c r="E49" s="46"/>
      <c r="F49" s="46"/>
      <c r="G49" s="46"/>
      <c r="H49" s="46"/>
      <c r="I49" s="46"/>
      <c r="J49" s="46"/>
      <c r="K49" s="46"/>
      <c r="L49" s="46"/>
      <c r="M49" s="46"/>
      <c r="N49" s="46"/>
      <c r="O49" s="46"/>
      <c r="P49" s="46"/>
      <c r="Q49" s="46"/>
      <c r="R49" s="46"/>
      <c r="S49" s="46"/>
      <c r="T49" s="46"/>
      <c r="U49" s="46"/>
    </row>
    <row r="50" spans="1:21">
      <c r="A50" s="338" t="s">
        <v>15</v>
      </c>
      <c r="B50" s="46">
        <f>B55</f>
        <v>1.4E-2</v>
      </c>
      <c r="C50" s="46"/>
      <c r="D50" s="46"/>
      <c r="E50" s="46"/>
      <c r="F50" s="46"/>
      <c r="G50" s="46"/>
      <c r="H50" s="46"/>
      <c r="I50" s="46"/>
      <c r="J50" s="46"/>
      <c r="K50" s="46"/>
      <c r="L50" s="46"/>
      <c r="M50" s="46"/>
      <c r="N50" s="46"/>
      <c r="O50" s="46"/>
      <c r="P50" s="46"/>
      <c r="Q50" s="46"/>
      <c r="R50" s="46"/>
      <c r="S50" s="46"/>
      <c r="T50" s="46"/>
      <c r="U50" s="46"/>
    </row>
    <row r="51" spans="1:21">
      <c r="A51" s="338" t="s">
        <v>16</v>
      </c>
      <c r="B51" s="46" t="s">
        <v>17</v>
      </c>
      <c r="C51" s="46"/>
      <c r="D51" s="46"/>
      <c r="E51" s="46"/>
      <c r="F51" s="46"/>
      <c r="G51" s="46"/>
      <c r="H51" s="46"/>
      <c r="I51" s="46"/>
      <c r="J51" s="46"/>
      <c r="K51" s="46"/>
      <c r="L51" s="46"/>
      <c r="M51" s="46"/>
      <c r="N51" s="46"/>
      <c r="O51" s="46"/>
      <c r="P51" s="46"/>
      <c r="Q51" s="46"/>
      <c r="R51" s="46"/>
      <c r="S51" s="46"/>
      <c r="T51" s="46"/>
      <c r="U51" s="46"/>
    </row>
    <row r="52" spans="1:21">
      <c r="A52" s="338" t="s">
        <v>18</v>
      </c>
      <c r="B52" s="46" t="s">
        <v>37</v>
      </c>
      <c r="C52" s="46"/>
      <c r="D52" s="46"/>
      <c r="E52" s="46"/>
      <c r="F52" s="46"/>
      <c r="G52" s="46"/>
      <c r="H52" s="46"/>
      <c r="I52" s="46"/>
      <c r="J52" s="46"/>
      <c r="K52" s="46"/>
      <c r="L52" s="46"/>
      <c r="M52" s="46"/>
      <c r="N52" s="46"/>
      <c r="O52" s="46"/>
      <c r="P52" s="46"/>
      <c r="Q52" s="46"/>
      <c r="R52" s="46"/>
      <c r="S52" s="46"/>
      <c r="T52" s="46"/>
      <c r="U52" s="46"/>
    </row>
    <row r="53" spans="1:21">
      <c r="A53" s="335" t="s">
        <v>19</v>
      </c>
      <c r="B53" s="46"/>
      <c r="C53" s="46"/>
      <c r="D53" s="46"/>
      <c r="E53" s="46"/>
      <c r="F53" s="46"/>
      <c r="G53" s="46"/>
      <c r="H53" s="46"/>
      <c r="I53" s="46"/>
      <c r="J53" s="46"/>
      <c r="K53" s="46"/>
      <c r="L53" s="46"/>
      <c r="M53" s="46"/>
      <c r="N53" s="46"/>
      <c r="O53" s="46"/>
      <c r="P53" s="46"/>
      <c r="Q53" s="46"/>
      <c r="R53" s="46"/>
      <c r="S53" s="46"/>
      <c r="T53" s="46"/>
      <c r="U53" s="46"/>
    </row>
    <row r="54" spans="1:21">
      <c r="A54" s="335" t="s">
        <v>20</v>
      </c>
      <c r="B54" s="336" t="s">
        <v>21</v>
      </c>
      <c r="C54" s="336" t="s">
        <v>18</v>
      </c>
      <c r="D54" s="336" t="s">
        <v>22</v>
      </c>
      <c r="E54" s="336" t="s">
        <v>7</v>
      </c>
      <c r="F54" s="336" t="s">
        <v>13</v>
      </c>
      <c r="G54" s="336" t="s">
        <v>16</v>
      </c>
      <c r="H54" s="336" t="s">
        <v>23</v>
      </c>
      <c r="I54" s="336" t="s">
        <v>24</v>
      </c>
      <c r="J54" s="336" t="s">
        <v>25</v>
      </c>
      <c r="K54" s="336" t="s">
        <v>26</v>
      </c>
      <c r="L54" s="336" t="s">
        <v>27</v>
      </c>
      <c r="M54" s="336" t="s">
        <v>28</v>
      </c>
      <c r="N54" s="336" t="s">
        <v>11</v>
      </c>
      <c r="O54" s="46"/>
      <c r="P54" s="46"/>
      <c r="Q54" s="46"/>
      <c r="R54" s="46"/>
      <c r="S54" s="46"/>
      <c r="T54" s="46"/>
      <c r="U54" s="46"/>
    </row>
    <row r="55" spans="1:21">
      <c r="A55" s="47" t="s">
        <v>1013</v>
      </c>
      <c r="B55" s="46">
        <f>P55</f>
        <v>1.4E-2</v>
      </c>
      <c r="C55" s="46" t="s">
        <v>37</v>
      </c>
      <c r="D55" s="400" t="s">
        <v>2</v>
      </c>
      <c r="E55" s="46" t="s">
        <v>29</v>
      </c>
      <c r="F55" s="32" t="s">
        <v>14</v>
      </c>
      <c r="G55" s="46" t="s">
        <v>30</v>
      </c>
      <c r="H55" s="46">
        <v>1</v>
      </c>
      <c r="I55" s="407">
        <f>B55</f>
        <v>1.4E-2</v>
      </c>
      <c r="J55" s="46" t="s">
        <v>31</v>
      </c>
      <c r="K55" s="46" t="s">
        <v>31</v>
      </c>
      <c r="L55" s="46" t="s">
        <v>31</v>
      </c>
      <c r="M55" s="46" t="s">
        <v>31</v>
      </c>
      <c r="N55" s="46"/>
      <c r="O55" s="393" t="s">
        <v>221</v>
      </c>
      <c r="P55" s="406">
        <v>1.4E-2</v>
      </c>
      <c r="Q55" s="46" t="s">
        <v>221</v>
      </c>
      <c r="R55" s="46">
        <f>P55</f>
        <v>1.4E-2</v>
      </c>
      <c r="S55" s="46"/>
      <c r="T55" s="46"/>
      <c r="U55" s="46"/>
    </row>
    <row r="56" spans="1:21">
      <c r="A56" s="47" t="s">
        <v>601</v>
      </c>
      <c r="B56" s="384">
        <f>R56</f>
        <v>1.4E-2</v>
      </c>
      <c r="C56" s="46" t="s">
        <v>37</v>
      </c>
      <c r="D56" s="46" t="s">
        <v>40</v>
      </c>
      <c r="E56" s="46" t="s">
        <v>29</v>
      </c>
      <c r="F56" s="32" t="s">
        <v>35</v>
      </c>
      <c r="G56" s="46" t="s">
        <v>33</v>
      </c>
      <c r="H56" s="46">
        <v>2</v>
      </c>
      <c r="I56" s="46">
        <f>LN(B56)</f>
        <v>-4.2686979493668789</v>
      </c>
      <c r="J56" s="46">
        <v>2.8722813232690055E-2</v>
      </c>
      <c r="K56" s="46" t="s">
        <v>31</v>
      </c>
      <c r="L56" s="46" t="s">
        <v>31</v>
      </c>
      <c r="M56" s="46" t="s">
        <v>31</v>
      </c>
      <c r="N56" s="46"/>
      <c r="O56" s="375" t="s">
        <v>221</v>
      </c>
      <c r="P56" s="406">
        <v>1.4E-2</v>
      </c>
      <c r="Q56" s="46" t="s">
        <v>221</v>
      </c>
      <c r="R56" s="384">
        <f>P56</f>
        <v>1.4E-2</v>
      </c>
      <c r="S56" s="46"/>
      <c r="T56" s="46"/>
      <c r="U56" s="46"/>
    </row>
    <row r="57" spans="1:21">
      <c r="A57" s="338" t="s">
        <v>75</v>
      </c>
      <c r="B57" s="342">
        <f>R57</f>
        <v>4.0000000000000001E-3</v>
      </c>
      <c r="C57" s="46" t="s">
        <v>39</v>
      </c>
      <c r="D57" s="46" t="s">
        <v>40</v>
      </c>
      <c r="E57" s="46" t="s">
        <v>29</v>
      </c>
      <c r="F57" s="32" t="s">
        <v>35</v>
      </c>
      <c r="G57" s="46" t="s">
        <v>33</v>
      </c>
      <c r="H57" s="46">
        <v>2</v>
      </c>
      <c r="I57" s="46">
        <f t="shared" ref="I57" si="2">LN(B57)</f>
        <v>-5.521460917862246</v>
      </c>
      <c r="J57" s="46">
        <v>7.2284161474004766E-2</v>
      </c>
      <c r="K57" s="46" t="s">
        <v>31</v>
      </c>
      <c r="L57" s="46" t="s">
        <v>31</v>
      </c>
      <c r="M57" s="46" t="s">
        <v>31</v>
      </c>
      <c r="N57" s="46"/>
      <c r="O57" s="375" t="s">
        <v>216</v>
      </c>
      <c r="P57" s="406">
        <v>4.0000000000000001E-3</v>
      </c>
      <c r="Q57" s="46" t="s">
        <v>216</v>
      </c>
      <c r="R57" s="342">
        <f>P57</f>
        <v>4.0000000000000001E-3</v>
      </c>
      <c r="S57" s="46"/>
      <c r="T57" s="46"/>
      <c r="U57" s="46"/>
    </row>
    <row r="58" spans="1:21">
      <c r="A58" s="362" t="s">
        <v>5</v>
      </c>
      <c r="B58" s="148" t="s">
        <v>1014</v>
      </c>
      <c r="C58" s="364"/>
      <c r="D58" s="345"/>
      <c r="E58" s="345"/>
      <c r="F58" s="345"/>
      <c r="G58" s="345"/>
      <c r="H58" s="345"/>
      <c r="I58" s="345"/>
      <c r="J58" s="345"/>
      <c r="K58" s="345"/>
      <c r="L58" s="345"/>
      <c r="M58" s="345"/>
      <c r="N58" s="46"/>
      <c r="O58" s="46"/>
      <c r="P58" s="46"/>
      <c r="Q58" s="46"/>
      <c r="R58" s="46"/>
      <c r="S58" s="46"/>
      <c r="T58" s="46"/>
      <c r="U58" s="46"/>
    </row>
    <row r="59" spans="1:21">
      <c r="A59" s="338" t="s">
        <v>7</v>
      </c>
      <c r="B59" s="46" t="s">
        <v>779</v>
      </c>
      <c r="C59" s="337"/>
      <c r="D59" s="46"/>
      <c r="E59" s="46"/>
      <c r="F59" s="46"/>
      <c r="G59" s="46"/>
      <c r="H59" s="46"/>
      <c r="I59" s="46"/>
      <c r="J59" s="46"/>
      <c r="K59" s="46"/>
      <c r="L59" s="46"/>
      <c r="M59" s="46"/>
      <c r="N59" s="46"/>
      <c r="O59" s="46"/>
      <c r="P59" s="46"/>
      <c r="Q59" s="46"/>
      <c r="R59" s="46"/>
      <c r="S59" s="46"/>
      <c r="T59" s="46"/>
      <c r="U59" s="46"/>
    </row>
    <row r="60" spans="1:21">
      <c r="A60" s="416" t="s">
        <v>9</v>
      </c>
      <c r="B60" s="46" t="s">
        <v>1016</v>
      </c>
      <c r="C60" s="337"/>
      <c r="D60" s="46"/>
      <c r="E60" s="46"/>
      <c r="F60" s="46"/>
      <c r="G60" s="46"/>
      <c r="H60" s="46"/>
      <c r="I60" s="46"/>
      <c r="J60" s="46"/>
      <c r="K60" s="46"/>
      <c r="L60" s="46"/>
      <c r="M60" s="46"/>
      <c r="N60" s="46"/>
      <c r="O60" s="46"/>
      <c r="P60" s="46"/>
      <c r="Q60" s="46"/>
      <c r="R60" s="46"/>
      <c r="S60" s="46"/>
      <c r="T60" s="46"/>
      <c r="U60" s="46"/>
    </row>
    <row r="61" spans="1:21" ht="27.75" customHeight="1">
      <c r="A61" s="338" t="s">
        <v>11</v>
      </c>
      <c r="B61" s="339" t="s">
        <v>789</v>
      </c>
      <c r="C61" s="46"/>
      <c r="D61" s="46"/>
      <c r="E61" s="46"/>
      <c r="F61" s="46"/>
      <c r="G61" s="46"/>
      <c r="H61" s="46"/>
      <c r="I61" s="46"/>
      <c r="J61" s="46"/>
      <c r="K61" s="46"/>
      <c r="L61" s="46"/>
      <c r="M61" s="46"/>
      <c r="N61" s="46"/>
      <c r="O61" s="46"/>
      <c r="P61" s="46"/>
      <c r="Q61" s="46"/>
      <c r="R61" s="46"/>
      <c r="S61" s="46"/>
      <c r="T61" s="46"/>
      <c r="U61" s="46"/>
    </row>
    <row r="62" spans="1:21">
      <c r="A62" s="338" t="s">
        <v>13</v>
      </c>
      <c r="B62" s="46" t="s">
        <v>14</v>
      </c>
      <c r="C62" s="46"/>
      <c r="D62" s="46"/>
      <c r="E62" s="46"/>
      <c r="F62" s="46"/>
      <c r="G62" s="46"/>
      <c r="H62" s="46"/>
      <c r="I62" s="46"/>
      <c r="J62" s="46"/>
      <c r="K62" s="46"/>
      <c r="L62" s="46"/>
      <c r="M62" s="46"/>
      <c r="N62" s="46"/>
      <c r="O62" s="46"/>
      <c r="P62" s="46"/>
      <c r="Q62" s="46"/>
      <c r="R62" s="46"/>
      <c r="S62" s="46"/>
      <c r="T62" s="46"/>
      <c r="U62" s="46"/>
    </row>
    <row r="63" spans="1:21">
      <c r="A63" s="338" t="s">
        <v>15</v>
      </c>
      <c r="B63" s="46">
        <v>1</v>
      </c>
      <c r="C63" s="46"/>
      <c r="D63" s="46"/>
      <c r="E63" s="46"/>
      <c r="F63" s="46"/>
      <c r="G63" s="46"/>
      <c r="H63" s="46"/>
      <c r="I63" s="46"/>
      <c r="J63" s="46"/>
      <c r="K63" s="46"/>
      <c r="L63" s="46"/>
      <c r="M63" s="46"/>
      <c r="N63" s="46"/>
      <c r="O63" s="46"/>
      <c r="P63" s="46"/>
      <c r="Q63" s="46"/>
      <c r="R63" s="46"/>
      <c r="S63" s="46"/>
      <c r="T63" s="46"/>
      <c r="U63" s="46"/>
    </row>
    <row r="64" spans="1:21">
      <c r="A64" s="338" t="s">
        <v>16</v>
      </c>
      <c r="B64" s="46" t="s">
        <v>17</v>
      </c>
      <c r="C64" s="46"/>
      <c r="D64" s="46"/>
      <c r="E64" s="46"/>
      <c r="F64" s="46"/>
      <c r="G64" s="46"/>
      <c r="H64" s="46"/>
      <c r="I64" s="46"/>
      <c r="J64" s="46"/>
      <c r="K64" s="46"/>
      <c r="L64" s="46"/>
      <c r="M64" s="46"/>
      <c r="N64" s="46"/>
      <c r="O64" s="46"/>
      <c r="P64" s="46"/>
      <c r="Q64" s="46"/>
      <c r="R64" s="46"/>
      <c r="S64" s="46"/>
      <c r="T64" s="46"/>
      <c r="U64" s="46"/>
    </row>
    <row r="65" spans="1:21">
      <c r="A65" s="338" t="s">
        <v>18</v>
      </c>
      <c r="B65" s="46" t="s">
        <v>18</v>
      </c>
      <c r="C65" s="46"/>
      <c r="D65" s="46"/>
      <c r="E65" s="46"/>
      <c r="F65" s="46"/>
      <c r="G65" s="46"/>
      <c r="H65" s="46"/>
      <c r="I65" s="46"/>
      <c r="J65" s="46"/>
      <c r="K65" s="46"/>
      <c r="L65" s="46"/>
      <c r="M65" s="46"/>
      <c r="N65" s="46"/>
      <c r="O65" s="46"/>
      <c r="P65" s="46"/>
      <c r="Q65" s="46"/>
      <c r="R65" s="46"/>
      <c r="S65" s="46"/>
      <c r="T65" s="46"/>
      <c r="U65" s="46"/>
    </row>
    <row r="66" spans="1:21">
      <c r="A66" s="335" t="s">
        <v>19</v>
      </c>
      <c r="B66" s="46"/>
      <c r="C66" s="46"/>
      <c r="D66" s="46"/>
      <c r="E66" s="46"/>
      <c r="F66" s="46"/>
      <c r="G66" s="46"/>
      <c r="H66" s="46"/>
      <c r="I66" s="46"/>
      <c r="J66" s="46"/>
      <c r="K66" s="46"/>
      <c r="L66" s="46"/>
      <c r="M66" s="46"/>
      <c r="N66" s="46"/>
      <c r="O66" s="46"/>
      <c r="P66" s="46"/>
      <c r="Q66" s="46"/>
      <c r="R66" s="46"/>
      <c r="S66" s="46"/>
      <c r="T66" s="46"/>
      <c r="U66" s="46"/>
    </row>
    <row r="67" spans="1:21">
      <c r="A67" s="335" t="s">
        <v>20</v>
      </c>
      <c r="B67" s="336" t="s">
        <v>21</v>
      </c>
      <c r="C67" s="336" t="s">
        <v>18</v>
      </c>
      <c r="D67" s="336" t="s">
        <v>22</v>
      </c>
      <c r="E67" s="336" t="s">
        <v>7</v>
      </c>
      <c r="F67" s="336" t="s">
        <v>13</v>
      </c>
      <c r="G67" s="336" t="s">
        <v>16</v>
      </c>
      <c r="H67" s="336" t="s">
        <v>23</v>
      </c>
      <c r="I67" s="336" t="s">
        <v>24</v>
      </c>
      <c r="J67" s="336" t="s">
        <v>25</v>
      </c>
      <c r="K67" s="336" t="s">
        <v>26</v>
      </c>
      <c r="L67" s="336" t="s">
        <v>27</v>
      </c>
      <c r="M67" s="336" t="s">
        <v>28</v>
      </c>
      <c r="N67" s="336" t="s">
        <v>11</v>
      </c>
      <c r="O67" s="46"/>
      <c r="P67" s="46"/>
      <c r="Q67" s="46"/>
      <c r="R67" s="46"/>
      <c r="S67" s="46"/>
      <c r="T67" s="46"/>
      <c r="U67" s="46"/>
    </row>
    <row r="68" spans="1:21">
      <c r="A68" s="47" t="s">
        <v>1014</v>
      </c>
      <c r="B68" s="46">
        <v>1</v>
      </c>
      <c r="C68" s="46" t="s">
        <v>18</v>
      </c>
      <c r="D68" s="400" t="s">
        <v>2</v>
      </c>
      <c r="E68" s="46" t="s">
        <v>29</v>
      </c>
      <c r="F68" s="32" t="s">
        <v>14</v>
      </c>
      <c r="G68" s="46" t="s">
        <v>30</v>
      </c>
      <c r="H68" s="46">
        <v>1</v>
      </c>
      <c r="I68" s="407">
        <f t="shared" ref="I68:I70" si="3">B68</f>
        <v>1</v>
      </c>
      <c r="J68" s="46" t="s">
        <v>31</v>
      </c>
      <c r="K68" s="46" t="s">
        <v>31</v>
      </c>
      <c r="L68" s="46" t="s">
        <v>31</v>
      </c>
      <c r="M68" s="46" t="s">
        <v>31</v>
      </c>
      <c r="N68" s="46"/>
      <c r="O68" s="46"/>
      <c r="P68" s="46"/>
      <c r="Q68" s="46"/>
      <c r="R68" s="46"/>
      <c r="S68" s="46"/>
      <c r="T68" s="46"/>
      <c r="U68" s="46"/>
    </row>
    <row r="69" spans="1:21">
      <c r="A69" s="47" t="s">
        <v>1017</v>
      </c>
      <c r="B69" s="384">
        <f>B77</f>
        <v>0.01</v>
      </c>
      <c r="C69" s="46" t="s">
        <v>37</v>
      </c>
      <c r="D69" s="400" t="s">
        <v>2</v>
      </c>
      <c r="E69" s="46" t="s">
        <v>29</v>
      </c>
      <c r="F69" s="32" t="s">
        <v>14</v>
      </c>
      <c r="G69" s="46" t="s">
        <v>33</v>
      </c>
      <c r="H69" s="46">
        <v>1</v>
      </c>
      <c r="I69" s="407">
        <f t="shared" si="3"/>
        <v>0.01</v>
      </c>
      <c r="J69" s="46" t="s">
        <v>31</v>
      </c>
      <c r="K69" s="46" t="s">
        <v>31</v>
      </c>
      <c r="L69" s="46" t="s">
        <v>31</v>
      </c>
      <c r="M69" s="46" t="s">
        <v>31</v>
      </c>
      <c r="N69" s="46"/>
      <c r="O69" s="375"/>
      <c r="P69" s="386"/>
      <c r="Q69" s="46" t="s">
        <v>221</v>
      </c>
      <c r="R69" s="384">
        <v>0.01</v>
      </c>
      <c r="S69" s="46"/>
      <c r="T69" s="46"/>
      <c r="U69" s="46"/>
    </row>
    <row r="70" spans="1:21">
      <c r="A70" s="47" t="s">
        <v>1018</v>
      </c>
      <c r="B70" s="342">
        <v>1</v>
      </c>
      <c r="C70" s="46" t="s">
        <v>18</v>
      </c>
      <c r="D70" s="400" t="s">
        <v>2</v>
      </c>
      <c r="E70" s="46" t="s">
        <v>29</v>
      </c>
      <c r="F70" s="32" t="s">
        <v>14</v>
      </c>
      <c r="G70" s="46" t="s">
        <v>33</v>
      </c>
      <c r="H70" s="46">
        <v>1</v>
      </c>
      <c r="I70" s="407">
        <f t="shared" si="3"/>
        <v>1</v>
      </c>
      <c r="J70" s="46" t="s">
        <v>31</v>
      </c>
      <c r="K70" s="46" t="s">
        <v>31</v>
      </c>
      <c r="L70" s="46" t="s">
        <v>31</v>
      </c>
      <c r="M70" s="46" t="s">
        <v>31</v>
      </c>
      <c r="N70" s="46"/>
      <c r="O70" s="375"/>
      <c r="P70" s="432"/>
      <c r="Q70" s="46"/>
      <c r="R70" s="342"/>
      <c r="S70" s="46"/>
      <c r="T70" s="46"/>
      <c r="U70" s="46"/>
    </row>
    <row r="71" spans="1:21">
      <c r="A71" s="338" t="s">
        <v>75</v>
      </c>
      <c r="B71" s="342">
        <f>R71</f>
        <v>0.05</v>
      </c>
      <c r="C71" s="46" t="s">
        <v>39</v>
      </c>
      <c r="D71" s="46" t="s">
        <v>40</v>
      </c>
      <c r="E71" s="46" t="s">
        <v>29</v>
      </c>
      <c r="F71" s="32" t="s">
        <v>35</v>
      </c>
      <c r="G71" s="46" t="s">
        <v>33</v>
      </c>
      <c r="H71" s="46">
        <v>2</v>
      </c>
      <c r="I71" s="46">
        <f t="shared" ref="I71" si="4">LN(B71)</f>
        <v>-2.9957322735539909</v>
      </c>
      <c r="J71" s="46">
        <v>7.2284161474004766E-2</v>
      </c>
      <c r="K71" s="46" t="s">
        <v>31</v>
      </c>
      <c r="L71" s="46" t="s">
        <v>31</v>
      </c>
      <c r="M71" s="46" t="s">
        <v>31</v>
      </c>
      <c r="N71" s="46"/>
      <c r="O71" s="375" t="s">
        <v>216</v>
      </c>
      <c r="P71" s="432">
        <v>0.05</v>
      </c>
      <c r="Q71" s="46" t="s">
        <v>216</v>
      </c>
      <c r="R71" s="342">
        <f>P71</f>
        <v>0.05</v>
      </c>
      <c r="S71" s="46"/>
      <c r="T71" s="46"/>
      <c r="U71" s="46"/>
    </row>
    <row r="72" spans="1:21">
      <c r="A72" s="362" t="s">
        <v>5</v>
      </c>
      <c r="B72" s="148" t="s">
        <v>1017</v>
      </c>
      <c r="C72" s="364"/>
      <c r="D72" s="345"/>
      <c r="E72" s="345"/>
      <c r="F72" s="345"/>
      <c r="G72" s="345"/>
      <c r="H72" s="345"/>
      <c r="I72" s="345"/>
      <c r="J72" s="345"/>
      <c r="K72" s="345"/>
      <c r="L72" s="345"/>
      <c r="M72" s="345"/>
      <c r="N72" s="46"/>
      <c r="O72" s="46"/>
      <c r="P72" s="46"/>
      <c r="Q72" s="46"/>
      <c r="R72" s="46"/>
      <c r="S72" s="46"/>
      <c r="T72" s="46"/>
      <c r="U72" s="46"/>
    </row>
    <row r="73" spans="1:21">
      <c r="A73" s="338" t="s">
        <v>7</v>
      </c>
      <c r="B73" s="46" t="s">
        <v>779</v>
      </c>
      <c r="C73" s="337"/>
      <c r="D73" s="46"/>
      <c r="E73" s="46"/>
      <c r="F73" s="46"/>
      <c r="G73" s="46"/>
      <c r="H73" s="46"/>
      <c r="I73" s="46"/>
      <c r="J73" s="46"/>
      <c r="K73" s="46"/>
      <c r="L73" s="46"/>
      <c r="M73" s="46"/>
      <c r="N73" s="46"/>
      <c r="O73" s="46"/>
      <c r="P73" s="46"/>
      <c r="Q73" s="46"/>
      <c r="R73" s="46"/>
      <c r="S73" s="46"/>
      <c r="T73" s="46"/>
      <c r="U73" s="46"/>
    </row>
    <row r="74" spans="1:21">
      <c r="A74" s="416" t="s">
        <v>9</v>
      </c>
      <c r="B74" s="46" t="s">
        <v>1019</v>
      </c>
      <c r="C74" s="337"/>
      <c r="D74" s="46"/>
      <c r="E74" s="46"/>
      <c r="F74" s="46"/>
      <c r="G74" s="46"/>
      <c r="H74" s="46"/>
      <c r="I74" s="46"/>
      <c r="J74" s="46"/>
      <c r="K74" s="46"/>
      <c r="L74" s="46"/>
      <c r="M74" s="46"/>
      <c r="N74" s="46"/>
      <c r="O74" s="46"/>
      <c r="P74" s="46"/>
      <c r="Q74" s="46"/>
      <c r="R74" s="46"/>
      <c r="S74" s="46"/>
      <c r="T74" s="46"/>
      <c r="U74" s="46"/>
    </row>
    <row r="75" spans="1:21" ht="15" customHeight="1">
      <c r="A75" s="338" t="s">
        <v>11</v>
      </c>
      <c r="B75" s="339" t="s">
        <v>789</v>
      </c>
      <c r="C75" s="46"/>
      <c r="D75" s="46"/>
      <c r="E75" s="46"/>
      <c r="F75" s="46"/>
      <c r="G75" s="46"/>
      <c r="H75" s="46"/>
      <c r="I75" s="46"/>
      <c r="J75" s="46"/>
      <c r="K75" s="46"/>
      <c r="L75" s="46"/>
      <c r="M75" s="46"/>
      <c r="N75" s="46"/>
      <c r="O75" s="46"/>
      <c r="P75" s="46"/>
      <c r="Q75" s="46"/>
      <c r="R75" s="46"/>
      <c r="S75" s="46"/>
      <c r="T75" s="46"/>
      <c r="U75" s="46"/>
    </row>
    <row r="76" spans="1:21">
      <c r="A76" s="338" t="s">
        <v>13</v>
      </c>
      <c r="B76" s="46" t="s">
        <v>14</v>
      </c>
      <c r="C76" s="46"/>
      <c r="D76" s="46"/>
      <c r="E76" s="46"/>
      <c r="F76" s="46"/>
      <c r="G76" s="46"/>
      <c r="H76" s="46"/>
      <c r="I76" s="46"/>
      <c r="J76" s="46"/>
      <c r="K76" s="46"/>
      <c r="L76" s="46"/>
      <c r="M76" s="46"/>
      <c r="N76" s="46"/>
      <c r="O76" s="46"/>
      <c r="P76" s="46"/>
      <c r="Q76" s="46"/>
      <c r="R76" s="46"/>
      <c r="S76" s="46"/>
      <c r="T76" s="46"/>
      <c r="U76" s="46"/>
    </row>
    <row r="77" spans="1:21">
      <c r="A77" s="338" t="s">
        <v>15</v>
      </c>
      <c r="B77" s="350">
        <f>B82</f>
        <v>0.01</v>
      </c>
      <c r="C77" s="46"/>
      <c r="D77" s="46"/>
      <c r="E77" s="46"/>
      <c r="F77" s="46"/>
      <c r="G77" s="46"/>
      <c r="H77" s="46"/>
      <c r="I77" s="46"/>
      <c r="J77" s="46"/>
      <c r="K77" s="46"/>
      <c r="L77" s="46"/>
      <c r="M77" s="46"/>
      <c r="N77" s="46"/>
      <c r="O77" s="46"/>
      <c r="P77" s="46"/>
      <c r="Q77" s="46"/>
      <c r="R77" s="46"/>
      <c r="S77" s="46"/>
      <c r="T77" s="46"/>
      <c r="U77" s="46"/>
    </row>
    <row r="78" spans="1:21">
      <c r="A78" s="338" t="s">
        <v>16</v>
      </c>
      <c r="B78" s="46" t="s">
        <v>17</v>
      </c>
      <c r="C78" s="46"/>
      <c r="D78" s="46"/>
      <c r="E78" s="46"/>
      <c r="F78" s="46"/>
      <c r="G78" s="46"/>
      <c r="H78" s="46"/>
      <c r="I78" s="46"/>
      <c r="J78" s="46"/>
      <c r="K78" s="46"/>
      <c r="L78" s="46"/>
      <c r="M78" s="46"/>
      <c r="N78" s="46"/>
      <c r="O78" s="46"/>
      <c r="P78" s="46"/>
      <c r="Q78" s="46"/>
      <c r="R78" s="46"/>
      <c r="S78" s="46"/>
      <c r="T78" s="46"/>
      <c r="U78" s="46"/>
    </row>
    <row r="79" spans="1:21">
      <c r="A79" s="338" t="s">
        <v>18</v>
      </c>
      <c r="B79" s="46" t="s">
        <v>37</v>
      </c>
      <c r="C79" s="46"/>
      <c r="D79" s="46"/>
      <c r="E79" s="46"/>
      <c r="F79" s="46"/>
      <c r="G79" s="46"/>
      <c r="H79" s="46"/>
      <c r="I79" s="46"/>
      <c r="J79" s="46"/>
      <c r="K79" s="46"/>
      <c r="L79" s="46"/>
      <c r="M79" s="46"/>
      <c r="N79" s="46"/>
      <c r="O79" s="46"/>
      <c r="P79" s="46"/>
      <c r="Q79" s="46"/>
      <c r="R79" s="46"/>
      <c r="S79" s="46"/>
      <c r="T79" s="46"/>
      <c r="U79" s="46"/>
    </row>
    <row r="80" spans="1:21">
      <c r="A80" s="335" t="s">
        <v>19</v>
      </c>
      <c r="B80" s="46"/>
      <c r="C80" s="46"/>
      <c r="D80" s="46"/>
      <c r="E80" s="46"/>
      <c r="F80" s="46"/>
      <c r="G80" s="46"/>
      <c r="H80" s="46"/>
      <c r="I80" s="46"/>
      <c r="J80" s="46"/>
      <c r="K80" s="46"/>
      <c r="L80" s="46"/>
      <c r="M80" s="46"/>
      <c r="N80" s="46"/>
      <c r="O80" s="46"/>
      <c r="P80" s="46"/>
      <c r="Q80" s="46"/>
      <c r="R80" s="46"/>
      <c r="S80" s="46"/>
      <c r="T80" s="46"/>
      <c r="U80" s="46"/>
    </row>
    <row r="81" spans="1:21">
      <c r="A81" s="335" t="s">
        <v>20</v>
      </c>
      <c r="B81" s="336" t="s">
        <v>21</v>
      </c>
      <c r="C81" s="336" t="s">
        <v>18</v>
      </c>
      <c r="D81" s="336" t="s">
        <v>22</v>
      </c>
      <c r="E81" s="336" t="s">
        <v>7</v>
      </c>
      <c r="F81" s="336" t="s">
        <v>13</v>
      </c>
      <c r="G81" s="336" t="s">
        <v>16</v>
      </c>
      <c r="H81" s="336" t="s">
        <v>23</v>
      </c>
      <c r="I81" s="336" t="s">
        <v>24</v>
      </c>
      <c r="J81" s="336" t="s">
        <v>25</v>
      </c>
      <c r="K81" s="336" t="s">
        <v>26</v>
      </c>
      <c r="L81" s="336" t="s">
        <v>27</v>
      </c>
      <c r="M81" s="336" t="s">
        <v>28</v>
      </c>
      <c r="N81" s="336" t="s">
        <v>11</v>
      </c>
      <c r="O81" s="46"/>
      <c r="P81" s="46"/>
      <c r="Q81" s="46"/>
      <c r="R81" s="46"/>
      <c r="S81" s="46"/>
      <c r="T81" s="46"/>
      <c r="U81" s="46"/>
    </row>
    <row r="82" spans="1:21">
      <c r="A82" s="47" t="s">
        <v>1017</v>
      </c>
      <c r="B82" s="350">
        <v>0.01</v>
      </c>
      <c r="C82" s="46" t="s">
        <v>37</v>
      </c>
      <c r="D82" s="400" t="s">
        <v>2</v>
      </c>
      <c r="E82" s="46" t="s">
        <v>29</v>
      </c>
      <c r="F82" s="32" t="s">
        <v>14</v>
      </c>
      <c r="G82" s="46" t="s">
        <v>30</v>
      </c>
      <c r="H82" s="46">
        <v>1</v>
      </c>
      <c r="I82" s="407">
        <f t="shared" ref="I82:I84" si="5">B82</f>
        <v>0.01</v>
      </c>
      <c r="J82" s="46" t="s">
        <v>31</v>
      </c>
      <c r="K82" s="46" t="s">
        <v>31</v>
      </c>
      <c r="L82" s="46" t="s">
        <v>31</v>
      </c>
      <c r="M82" s="46" t="s">
        <v>31</v>
      </c>
      <c r="N82" s="46"/>
      <c r="O82" s="375"/>
      <c r="P82" s="386"/>
      <c r="Q82" s="46" t="s">
        <v>221</v>
      </c>
      <c r="R82" s="384">
        <v>0.01</v>
      </c>
      <c r="S82" s="46"/>
      <c r="T82" s="46"/>
      <c r="U82" s="46"/>
    </row>
    <row r="83" spans="1:21">
      <c r="A83" s="47" t="s">
        <v>655</v>
      </c>
      <c r="B83" s="350">
        <v>0.01</v>
      </c>
      <c r="C83" s="46" t="s">
        <v>37</v>
      </c>
      <c r="D83" s="46" t="s">
        <v>40</v>
      </c>
      <c r="E83" s="46" t="s">
        <v>29</v>
      </c>
      <c r="F83" s="32" t="s">
        <v>58</v>
      </c>
      <c r="G83" s="46" t="s">
        <v>33</v>
      </c>
      <c r="H83" s="46">
        <v>1</v>
      </c>
      <c r="I83" s="407">
        <f t="shared" si="5"/>
        <v>0.01</v>
      </c>
      <c r="J83" s="46" t="s">
        <v>31</v>
      </c>
      <c r="K83" s="46" t="s">
        <v>31</v>
      </c>
      <c r="L83" s="46" t="s">
        <v>31</v>
      </c>
      <c r="M83" s="46" t="s">
        <v>31</v>
      </c>
      <c r="N83" s="46"/>
      <c r="O83" s="375"/>
      <c r="P83" s="432"/>
      <c r="Q83" s="46"/>
      <c r="R83" s="342"/>
      <c r="S83" s="46"/>
      <c r="T83" s="46"/>
      <c r="U83" s="46"/>
    </row>
    <row r="84" spans="1:21">
      <c r="A84" s="47" t="s">
        <v>708</v>
      </c>
      <c r="B84" s="350">
        <v>0.01</v>
      </c>
      <c r="C84" s="46" t="s">
        <v>37</v>
      </c>
      <c r="D84" s="46" t="s">
        <v>40</v>
      </c>
      <c r="E84" s="46" t="s">
        <v>29</v>
      </c>
      <c r="F84" s="46" t="s">
        <v>58</v>
      </c>
      <c r="G84" s="46" t="s">
        <v>33</v>
      </c>
      <c r="H84" s="46">
        <v>1</v>
      </c>
      <c r="I84" s="407">
        <f t="shared" si="5"/>
        <v>0.01</v>
      </c>
      <c r="J84" s="46" t="s">
        <v>31</v>
      </c>
      <c r="K84" s="46" t="s">
        <v>31</v>
      </c>
      <c r="L84" s="46" t="s">
        <v>31</v>
      </c>
      <c r="M84" s="46" t="s">
        <v>31</v>
      </c>
      <c r="N84" s="46"/>
      <c r="O84" s="46"/>
      <c r="P84" s="46"/>
      <c r="Q84" s="46"/>
      <c r="R84" s="46"/>
      <c r="S84" s="46"/>
      <c r="T84" s="46"/>
      <c r="U84" s="46"/>
    </row>
    <row r="85" spans="1:21" s="41" customFormat="1">
      <c r="A85" s="362" t="s">
        <v>5</v>
      </c>
      <c r="B85" s="148" t="s">
        <v>1018</v>
      </c>
      <c r="C85" s="364"/>
      <c r="D85" s="345"/>
      <c r="E85" s="345"/>
      <c r="F85" s="345"/>
      <c r="G85" s="345"/>
      <c r="H85" s="345"/>
      <c r="I85" s="345"/>
      <c r="J85" s="345"/>
      <c r="K85" s="345"/>
      <c r="L85" s="345"/>
      <c r="M85" s="345"/>
      <c r="N85" s="345"/>
      <c r="O85" s="345"/>
      <c r="P85" s="345"/>
      <c r="Q85" s="345"/>
      <c r="R85" s="345"/>
      <c r="S85" s="345"/>
      <c r="T85" s="345"/>
      <c r="U85" s="345"/>
    </row>
    <row r="86" spans="1:21">
      <c r="A86" s="338" t="s">
        <v>7</v>
      </c>
      <c r="B86" s="46" t="s">
        <v>779</v>
      </c>
      <c r="C86" s="337"/>
      <c r="D86" s="46"/>
      <c r="E86" s="46"/>
      <c r="F86" s="46"/>
      <c r="G86" s="46"/>
      <c r="H86" s="46"/>
      <c r="I86" s="46"/>
      <c r="J86" s="46"/>
      <c r="K86" s="46"/>
      <c r="L86" s="46"/>
      <c r="M86" s="46"/>
      <c r="N86" s="46"/>
      <c r="O86" s="46"/>
      <c r="P86" s="46"/>
      <c r="Q86" s="46"/>
      <c r="R86" s="46"/>
      <c r="S86" s="46"/>
      <c r="T86" s="46"/>
      <c r="U86" s="46"/>
    </row>
    <row r="87" spans="1:21">
      <c r="A87" s="416" t="s">
        <v>9</v>
      </c>
      <c r="B87" s="46" t="s">
        <v>1020</v>
      </c>
      <c r="C87" s="337"/>
      <c r="D87" s="46"/>
      <c r="E87" s="46"/>
      <c r="F87" s="46"/>
      <c r="G87" s="46"/>
      <c r="H87" s="46"/>
      <c r="I87" s="46"/>
      <c r="J87" s="46"/>
      <c r="K87" s="46"/>
      <c r="L87" s="46"/>
      <c r="M87" s="46"/>
      <c r="N87" s="46"/>
      <c r="O87" s="46"/>
      <c r="P87" s="46"/>
      <c r="Q87" s="46"/>
      <c r="R87" s="46"/>
      <c r="S87" s="46"/>
      <c r="T87" s="46"/>
      <c r="U87" s="46"/>
    </row>
    <row r="88" spans="1:21" ht="15.75" customHeight="1">
      <c r="A88" s="338" t="s">
        <v>11</v>
      </c>
      <c r="B88" s="339" t="s">
        <v>789</v>
      </c>
      <c r="C88" s="46"/>
      <c r="D88" s="46"/>
      <c r="E88" s="46"/>
      <c r="F88" s="46"/>
      <c r="G88" s="46"/>
      <c r="H88" s="46"/>
      <c r="I88" s="46"/>
      <c r="J88" s="46"/>
      <c r="K88" s="46"/>
      <c r="L88" s="46"/>
      <c r="M88" s="46"/>
      <c r="N88" s="46"/>
      <c r="O88" s="46"/>
      <c r="P88" s="46"/>
      <c r="Q88" s="46"/>
      <c r="R88" s="46"/>
      <c r="S88" s="46"/>
      <c r="T88" s="46"/>
      <c r="U88" s="46"/>
    </row>
    <row r="89" spans="1:21">
      <c r="A89" s="338" t="s">
        <v>13</v>
      </c>
      <c r="B89" s="46" t="s">
        <v>14</v>
      </c>
      <c r="C89" s="46"/>
      <c r="D89" s="46"/>
      <c r="E89" s="46"/>
      <c r="F89" s="46"/>
      <c r="G89" s="46"/>
      <c r="H89" s="46"/>
      <c r="I89" s="46"/>
      <c r="J89" s="46"/>
      <c r="K89" s="46"/>
      <c r="L89" s="46"/>
      <c r="M89" s="46"/>
      <c r="N89" s="46"/>
      <c r="O89" s="46"/>
      <c r="P89" s="46"/>
      <c r="Q89" s="46"/>
      <c r="R89" s="46"/>
      <c r="S89" s="46"/>
      <c r="T89" s="46"/>
      <c r="U89" s="46"/>
    </row>
    <row r="90" spans="1:21">
      <c r="A90" s="338" t="s">
        <v>15</v>
      </c>
      <c r="B90" s="46">
        <v>1</v>
      </c>
      <c r="C90" s="46"/>
      <c r="D90" s="46"/>
      <c r="E90" s="46"/>
      <c r="F90" s="46"/>
      <c r="G90" s="46"/>
      <c r="H90" s="46"/>
      <c r="I90" s="46"/>
      <c r="J90" s="46"/>
      <c r="K90" s="46"/>
      <c r="L90" s="46"/>
      <c r="M90" s="46"/>
      <c r="N90" s="46"/>
      <c r="O90" s="46"/>
      <c r="P90" s="46"/>
      <c r="Q90" s="46"/>
      <c r="R90" s="46"/>
      <c r="S90" s="46"/>
      <c r="T90" s="46"/>
      <c r="U90" s="46"/>
    </row>
    <row r="91" spans="1:21">
      <c r="A91" s="338" t="s">
        <v>16</v>
      </c>
      <c r="B91" s="46" t="s">
        <v>17</v>
      </c>
      <c r="C91" s="46"/>
      <c r="D91" s="46"/>
      <c r="E91" s="46"/>
      <c r="F91" s="46"/>
      <c r="G91" s="46"/>
      <c r="H91" s="46"/>
      <c r="I91" s="46"/>
      <c r="J91" s="46"/>
      <c r="K91" s="46"/>
      <c r="L91" s="46"/>
      <c r="M91" s="46"/>
      <c r="N91" s="46"/>
      <c r="O91" s="46"/>
      <c r="P91" s="46"/>
      <c r="Q91" s="46"/>
      <c r="R91" s="46"/>
      <c r="S91" s="46"/>
      <c r="T91" s="46"/>
      <c r="U91" s="46"/>
    </row>
    <row r="92" spans="1:21">
      <c r="A92" s="338" t="s">
        <v>18</v>
      </c>
      <c r="B92" s="46" t="s">
        <v>18</v>
      </c>
      <c r="C92" s="46"/>
      <c r="D92" s="46"/>
      <c r="E92" s="46"/>
      <c r="F92" s="46"/>
      <c r="G92" s="46"/>
      <c r="H92" s="46"/>
      <c r="I92" s="46"/>
      <c r="J92" s="46"/>
      <c r="K92" s="46"/>
      <c r="L92" s="46"/>
      <c r="M92" s="46"/>
      <c r="N92" s="46"/>
      <c r="O92" s="46"/>
      <c r="P92" s="46"/>
      <c r="Q92" s="46"/>
      <c r="R92" s="46"/>
      <c r="S92" s="46"/>
      <c r="T92" s="46"/>
      <c r="U92" s="46"/>
    </row>
    <row r="93" spans="1:21">
      <c r="A93" s="335" t="s">
        <v>19</v>
      </c>
      <c r="B93" s="46"/>
      <c r="C93" s="46"/>
      <c r="D93" s="46"/>
      <c r="E93" s="46"/>
      <c r="F93" s="46"/>
      <c r="G93" s="46"/>
      <c r="H93" s="46"/>
      <c r="I93" s="46"/>
      <c r="J93" s="46"/>
      <c r="K93" s="46"/>
      <c r="L93" s="46"/>
      <c r="M93" s="46"/>
      <c r="N93" s="46"/>
      <c r="O93" s="46"/>
      <c r="P93" s="46"/>
      <c r="Q93" s="46"/>
      <c r="R93" s="46"/>
      <c r="S93" s="46"/>
      <c r="T93" s="46"/>
      <c r="U93" s="46"/>
    </row>
    <row r="94" spans="1:21">
      <c r="A94" s="335" t="s">
        <v>20</v>
      </c>
      <c r="B94" s="336" t="s">
        <v>21</v>
      </c>
      <c r="C94" s="336" t="s">
        <v>18</v>
      </c>
      <c r="D94" s="336" t="s">
        <v>22</v>
      </c>
      <c r="E94" s="336" t="s">
        <v>7</v>
      </c>
      <c r="F94" s="336" t="s">
        <v>13</v>
      </c>
      <c r="G94" s="336" t="s">
        <v>16</v>
      </c>
      <c r="H94" s="336" t="s">
        <v>23</v>
      </c>
      <c r="I94" s="336" t="s">
        <v>24</v>
      </c>
      <c r="J94" s="336" t="s">
        <v>25</v>
      </c>
      <c r="K94" s="336" t="s">
        <v>26</v>
      </c>
      <c r="L94" s="336" t="s">
        <v>27</v>
      </c>
      <c r="M94" s="336" t="s">
        <v>28</v>
      </c>
      <c r="N94" s="336" t="s">
        <v>11</v>
      </c>
      <c r="O94" s="46"/>
      <c r="P94" s="46"/>
      <c r="Q94" s="46"/>
      <c r="R94" s="46"/>
      <c r="S94" s="46"/>
      <c r="T94" s="46"/>
      <c r="U94" s="46"/>
    </row>
    <row r="95" spans="1:21">
      <c r="A95" s="47" t="s">
        <v>1018</v>
      </c>
      <c r="B95" s="342">
        <v>1</v>
      </c>
      <c r="C95" s="46" t="s">
        <v>18</v>
      </c>
      <c r="D95" s="400" t="s">
        <v>2</v>
      </c>
      <c r="E95" s="46" t="s">
        <v>29</v>
      </c>
      <c r="F95" s="32" t="s">
        <v>14</v>
      </c>
      <c r="G95" s="46" t="s">
        <v>30</v>
      </c>
      <c r="H95" s="46">
        <v>1</v>
      </c>
      <c r="I95" s="407">
        <f t="shared" ref="I95:I96" si="6">B95</f>
        <v>1</v>
      </c>
      <c r="J95" s="46" t="s">
        <v>31</v>
      </c>
      <c r="K95" s="46" t="s">
        <v>31</v>
      </c>
      <c r="L95" s="46" t="s">
        <v>31</v>
      </c>
      <c r="M95" s="46" t="s">
        <v>31</v>
      </c>
      <c r="N95" s="46"/>
      <c r="O95" s="375"/>
      <c r="P95" s="432"/>
      <c r="Q95" s="46"/>
      <c r="R95" s="342"/>
      <c r="S95" s="46"/>
      <c r="T95" s="46"/>
      <c r="U95" s="46"/>
    </row>
    <row r="96" spans="1:21">
      <c r="A96" s="47" t="s">
        <v>1021</v>
      </c>
      <c r="B96" s="46">
        <v>1</v>
      </c>
      <c r="C96" s="46" t="s">
        <v>18</v>
      </c>
      <c r="D96" s="400" t="s">
        <v>2</v>
      </c>
      <c r="E96" s="46" t="s">
        <v>29</v>
      </c>
      <c r="F96" s="32" t="s">
        <v>14</v>
      </c>
      <c r="G96" s="46" t="s">
        <v>33</v>
      </c>
      <c r="H96" s="46">
        <v>1</v>
      </c>
      <c r="I96" s="407">
        <f t="shared" si="6"/>
        <v>1</v>
      </c>
      <c r="J96" s="46" t="s">
        <v>31</v>
      </c>
      <c r="K96" s="46" t="s">
        <v>31</v>
      </c>
      <c r="L96" s="46" t="s">
        <v>31</v>
      </c>
      <c r="M96" s="46" t="s">
        <v>31</v>
      </c>
      <c r="N96" s="46"/>
      <c r="O96" s="375"/>
      <c r="P96" s="432"/>
      <c r="Q96" s="46"/>
      <c r="R96" s="46"/>
      <c r="S96" s="46"/>
      <c r="T96" s="46"/>
      <c r="U96" s="46"/>
    </row>
    <row r="97" spans="1:21">
      <c r="A97" s="338" t="s">
        <v>75</v>
      </c>
      <c r="B97" s="342">
        <f>R97</f>
        <v>0.05</v>
      </c>
      <c r="C97" s="46" t="s">
        <v>39</v>
      </c>
      <c r="D97" s="46" t="s">
        <v>40</v>
      </c>
      <c r="E97" s="46" t="s">
        <v>29</v>
      </c>
      <c r="F97" s="32" t="s">
        <v>35</v>
      </c>
      <c r="G97" s="46" t="s">
        <v>33</v>
      </c>
      <c r="H97" s="46">
        <v>2</v>
      </c>
      <c r="I97" s="46">
        <f t="shared" ref="I97" si="7">LN(B97)</f>
        <v>-2.9957322735539909</v>
      </c>
      <c r="J97" s="46">
        <v>7.2284161474004766E-2</v>
      </c>
      <c r="K97" s="46" t="s">
        <v>31</v>
      </c>
      <c r="L97" s="46" t="s">
        <v>31</v>
      </c>
      <c r="M97" s="46" t="s">
        <v>31</v>
      </c>
      <c r="N97" s="46"/>
      <c r="O97" s="375" t="s">
        <v>216</v>
      </c>
      <c r="P97" s="432">
        <v>0.05</v>
      </c>
      <c r="Q97" s="46" t="s">
        <v>216</v>
      </c>
      <c r="R97" s="342">
        <f>P97</f>
        <v>0.05</v>
      </c>
      <c r="S97" s="46"/>
      <c r="T97" s="46"/>
      <c r="U97" s="46"/>
    </row>
    <row r="98" spans="1:21" s="41" customFormat="1">
      <c r="A98" s="362" t="s">
        <v>5</v>
      </c>
      <c r="B98" s="148" t="s">
        <v>1021</v>
      </c>
      <c r="C98" s="364"/>
      <c r="D98" s="345"/>
      <c r="E98" s="345"/>
      <c r="F98" s="345"/>
      <c r="G98" s="345"/>
      <c r="H98" s="345"/>
      <c r="I98" s="345"/>
      <c r="J98" s="345"/>
      <c r="K98" s="345"/>
      <c r="L98" s="345"/>
      <c r="M98" s="345"/>
      <c r="N98" s="345"/>
      <c r="O98" s="345"/>
      <c r="P98" s="345"/>
      <c r="Q98" s="345"/>
      <c r="R98" s="345"/>
      <c r="S98" s="345"/>
      <c r="T98" s="345"/>
      <c r="U98" s="345"/>
    </row>
    <row r="99" spans="1:21">
      <c r="A99" s="338" t="s">
        <v>7</v>
      </c>
      <c r="B99" s="46" t="s">
        <v>779</v>
      </c>
      <c r="C99" s="337"/>
      <c r="D99" s="46"/>
      <c r="E99" s="46"/>
      <c r="F99" s="46"/>
      <c r="G99" s="46"/>
      <c r="H99" s="46"/>
      <c r="I99" s="46"/>
      <c r="J99" s="46"/>
      <c r="K99" s="46"/>
      <c r="L99" s="46"/>
      <c r="M99" s="46"/>
      <c r="N99" s="46"/>
      <c r="O99" s="46"/>
      <c r="P99" s="46"/>
      <c r="Q99" s="46"/>
      <c r="R99" s="46"/>
      <c r="S99" s="46"/>
      <c r="T99" s="46"/>
      <c r="U99" s="46"/>
    </row>
    <row r="100" spans="1:21">
      <c r="A100" s="416" t="s">
        <v>9</v>
      </c>
      <c r="B100" s="46" t="s">
        <v>1022</v>
      </c>
      <c r="C100" s="337"/>
      <c r="D100" s="46"/>
      <c r="E100" s="46"/>
      <c r="F100" s="46"/>
      <c r="G100" s="46"/>
      <c r="H100" s="46"/>
      <c r="I100" s="46"/>
      <c r="J100" s="46"/>
      <c r="K100" s="46"/>
      <c r="L100" s="46"/>
      <c r="M100" s="46"/>
      <c r="N100" s="46"/>
      <c r="O100" s="46"/>
      <c r="P100" s="46"/>
      <c r="Q100" s="46"/>
      <c r="R100" s="46"/>
      <c r="S100" s="46"/>
      <c r="T100" s="46"/>
      <c r="U100" s="46"/>
    </row>
    <row r="101" spans="1:21" ht="15.75" customHeight="1">
      <c r="A101" s="338" t="s">
        <v>11</v>
      </c>
      <c r="B101" s="339" t="s">
        <v>789</v>
      </c>
      <c r="C101" s="46"/>
      <c r="D101" s="46"/>
      <c r="E101" s="46"/>
      <c r="F101" s="46"/>
      <c r="G101" s="46"/>
      <c r="H101" s="46"/>
      <c r="I101" s="46"/>
      <c r="J101" s="46"/>
      <c r="K101" s="46"/>
      <c r="L101" s="46"/>
      <c r="M101" s="46"/>
      <c r="N101" s="46"/>
      <c r="O101" s="46"/>
      <c r="P101" s="46"/>
      <c r="Q101" s="46"/>
      <c r="R101" s="46"/>
      <c r="S101" s="46"/>
      <c r="T101" s="46"/>
      <c r="U101" s="46"/>
    </row>
    <row r="102" spans="1:21">
      <c r="A102" s="338" t="s">
        <v>13</v>
      </c>
      <c r="B102" s="46" t="s">
        <v>14</v>
      </c>
      <c r="C102" s="46"/>
      <c r="D102" s="46"/>
      <c r="E102" s="46"/>
      <c r="F102" s="46"/>
      <c r="G102" s="46"/>
      <c r="H102" s="46"/>
      <c r="I102" s="46"/>
      <c r="J102" s="46"/>
      <c r="K102" s="46"/>
      <c r="L102" s="46"/>
      <c r="M102" s="46"/>
      <c r="N102" s="46"/>
      <c r="O102" s="46"/>
      <c r="P102" s="46"/>
      <c r="Q102" s="46"/>
      <c r="R102" s="46"/>
      <c r="S102" s="46"/>
      <c r="T102" s="46"/>
      <c r="U102" s="46"/>
    </row>
    <row r="103" spans="1:21">
      <c r="A103" s="338" t="s">
        <v>15</v>
      </c>
      <c r="B103" s="46">
        <v>1</v>
      </c>
      <c r="C103" s="46"/>
      <c r="D103" s="46"/>
      <c r="E103" s="46"/>
      <c r="F103" s="46"/>
      <c r="G103" s="46"/>
      <c r="H103" s="46"/>
      <c r="I103" s="46"/>
      <c r="J103" s="46"/>
      <c r="K103" s="46"/>
      <c r="L103" s="46"/>
      <c r="M103" s="46"/>
      <c r="N103" s="46"/>
      <c r="O103" s="46"/>
      <c r="P103" s="46"/>
      <c r="Q103" s="46"/>
      <c r="R103" s="46"/>
      <c r="S103" s="46"/>
      <c r="T103" s="46"/>
      <c r="U103" s="46"/>
    </row>
    <row r="104" spans="1:21">
      <c r="A104" s="338" t="s">
        <v>16</v>
      </c>
      <c r="B104" s="46" t="s">
        <v>17</v>
      </c>
      <c r="C104" s="46"/>
      <c r="D104" s="46"/>
      <c r="E104" s="46"/>
      <c r="F104" s="46"/>
      <c r="G104" s="46"/>
      <c r="H104" s="46"/>
      <c r="I104" s="46"/>
      <c r="J104" s="46"/>
      <c r="K104" s="46"/>
      <c r="L104" s="46"/>
      <c r="M104" s="46"/>
      <c r="N104" s="46"/>
      <c r="O104" s="46"/>
      <c r="P104" s="46"/>
      <c r="Q104" s="46"/>
      <c r="R104" s="46"/>
      <c r="S104" s="46"/>
      <c r="T104" s="46"/>
      <c r="U104" s="46"/>
    </row>
    <row r="105" spans="1:21">
      <c r="A105" s="338" t="s">
        <v>18</v>
      </c>
      <c r="B105" s="46" t="s">
        <v>18</v>
      </c>
      <c r="C105" s="46"/>
      <c r="D105" s="46"/>
      <c r="E105" s="46"/>
      <c r="F105" s="46"/>
      <c r="G105" s="46"/>
      <c r="H105" s="46"/>
      <c r="I105" s="46"/>
      <c r="J105" s="46"/>
      <c r="K105" s="46"/>
      <c r="L105" s="46"/>
      <c r="M105" s="46"/>
      <c r="N105" s="46"/>
      <c r="O105" s="46"/>
      <c r="P105" s="46"/>
      <c r="Q105" s="46"/>
      <c r="R105" s="46"/>
      <c r="S105" s="46"/>
      <c r="T105" s="46"/>
      <c r="U105" s="46"/>
    </row>
    <row r="106" spans="1:21">
      <c r="A106" s="335" t="s">
        <v>19</v>
      </c>
      <c r="B106" s="46"/>
      <c r="C106" s="46"/>
      <c r="D106" s="46"/>
      <c r="E106" s="46"/>
      <c r="F106" s="46"/>
      <c r="G106" s="46"/>
      <c r="H106" s="46"/>
      <c r="I106" s="46"/>
      <c r="J106" s="46"/>
      <c r="K106" s="46"/>
      <c r="L106" s="46"/>
      <c r="M106" s="46"/>
      <c r="N106" s="46"/>
      <c r="O106" s="46"/>
      <c r="P106" s="46"/>
      <c r="Q106" s="46"/>
      <c r="R106" s="46"/>
      <c r="S106" s="46"/>
      <c r="T106" s="46"/>
      <c r="U106" s="46"/>
    </row>
    <row r="107" spans="1:21">
      <c r="A107" s="335" t="s">
        <v>20</v>
      </c>
      <c r="B107" s="336" t="s">
        <v>21</v>
      </c>
      <c r="C107" s="336" t="s">
        <v>18</v>
      </c>
      <c r="D107" s="336" t="s">
        <v>22</v>
      </c>
      <c r="E107" s="336" t="s">
        <v>7</v>
      </c>
      <c r="F107" s="336" t="s">
        <v>13</v>
      </c>
      <c r="G107" s="336" t="s">
        <v>16</v>
      </c>
      <c r="H107" s="336" t="s">
        <v>23</v>
      </c>
      <c r="I107" s="336" t="s">
        <v>24</v>
      </c>
      <c r="J107" s="336" t="s">
        <v>25</v>
      </c>
      <c r="K107" s="336" t="s">
        <v>26</v>
      </c>
      <c r="L107" s="336" t="s">
        <v>27</v>
      </c>
      <c r="M107" s="336" t="s">
        <v>28</v>
      </c>
      <c r="N107" s="336" t="s">
        <v>11</v>
      </c>
      <c r="O107" s="46"/>
      <c r="P107" s="46"/>
      <c r="Q107" s="46"/>
      <c r="R107" s="46"/>
      <c r="S107" s="46"/>
      <c r="T107" s="46"/>
      <c r="U107" s="46"/>
    </row>
    <row r="108" spans="1:21">
      <c r="A108" s="47" t="s">
        <v>1021</v>
      </c>
      <c r="B108" s="46">
        <v>1</v>
      </c>
      <c r="C108" s="46" t="s">
        <v>18</v>
      </c>
      <c r="D108" s="400" t="s">
        <v>2</v>
      </c>
      <c r="E108" s="46" t="s">
        <v>29</v>
      </c>
      <c r="F108" s="32" t="s">
        <v>14</v>
      </c>
      <c r="G108" s="46" t="s">
        <v>30</v>
      </c>
      <c r="H108" s="46">
        <v>1</v>
      </c>
      <c r="I108" s="407">
        <f t="shared" ref="I108:I111" si="8">B108</f>
        <v>1</v>
      </c>
      <c r="J108" s="46" t="s">
        <v>31</v>
      </c>
      <c r="K108" s="46" t="s">
        <v>31</v>
      </c>
      <c r="L108" s="46" t="s">
        <v>31</v>
      </c>
      <c r="M108" s="46" t="s">
        <v>31</v>
      </c>
      <c r="N108" s="46"/>
      <c r="O108" s="46"/>
      <c r="P108" s="460"/>
      <c r="Q108" s="46"/>
      <c r="R108" s="46"/>
      <c r="S108" s="46"/>
      <c r="T108" s="46"/>
      <c r="U108" s="46"/>
    </row>
    <row r="109" spans="1:21">
      <c r="A109" s="338" t="s">
        <v>1023</v>
      </c>
      <c r="B109" s="433">
        <f>B133</f>
        <v>3.8E-3</v>
      </c>
      <c r="C109" s="46" t="s">
        <v>113</v>
      </c>
      <c r="D109" s="400" t="s">
        <v>2</v>
      </c>
      <c r="E109" s="46" t="s">
        <v>29</v>
      </c>
      <c r="F109" s="32" t="s">
        <v>14</v>
      </c>
      <c r="G109" s="46" t="s">
        <v>33</v>
      </c>
      <c r="H109" s="46">
        <v>1</v>
      </c>
      <c r="I109" s="407">
        <f t="shared" si="8"/>
        <v>3.8E-3</v>
      </c>
      <c r="J109" s="46" t="s">
        <v>31</v>
      </c>
      <c r="K109" s="46" t="s">
        <v>31</v>
      </c>
      <c r="L109" s="46" t="s">
        <v>31</v>
      </c>
      <c r="M109" s="46" t="s">
        <v>31</v>
      </c>
      <c r="N109" s="46"/>
      <c r="O109" s="401"/>
      <c r="P109" s="402"/>
      <c r="Q109" s="342"/>
      <c r="R109" s="46"/>
      <c r="S109" s="46"/>
      <c r="T109" s="46"/>
      <c r="U109" s="46"/>
    </row>
    <row r="110" spans="1:21">
      <c r="A110" s="46" t="s">
        <v>970</v>
      </c>
      <c r="B110" s="384">
        <f>R110</f>
        <v>5.6250000000000007E-4</v>
      </c>
      <c r="C110" s="373" t="s">
        <v>113</v>
      </c>
      <c r="D110" s="400" t="s">
        <v>2</v>
      </c>
      <c r="E110" s="46" t="s">
        <v>29</v>
      </c>
      <c r="F110" s="32" t="s">
        <v>14</v>
      </c>
      <c r="G110" s="46" t="s">
        <v>33</v>
      </c>
      <c r="H110" s="46">
        <v>1</v>
      </c>
      <c r="I110" s="407">
        <f t="shared" si="8"/>
        <v>5.6250000000000007E-4</v>
      </c>
      <c r="J110" s="46" t="s">
        <v>31</v>
      </c>
      <c r="K110" s="46" t="s">
        <v>31</v>
      </c>
      <c r="L110" s="46" t="s">
        <v>31</v>
      </c>
      <c r="M110" s="46" t="s">
        <v>31</v>
      </c>
      <c r="N110" s="46"/>
      <c r="O110" s="434" t="s">
        <v>575</v>
      </c>
      <c r="P110" s="435">
        <v>3</v>
      </c>
      <c r="Q110" s="367" t="s">
        <v>983</v>
      </c>
      <c r="R110" s="384">
        <f>(P110*0.001)*0.1875</f>
        <v>5.6250000000000007E-4</v>
      </c>
      <c r="S110" s="46"/>
      <c r="T110" s="46"/>
      <c r="U110" s="46"/>
    </row>
    <row r="111" spans="1:21">
      <c r="A111" s="46" t="s">
        <v>1024</v>
      </c>
      <c r="B111" s="46">
        <v>1</v>
      </c>
      <c r="C111" s="46" t="s">
        <v>18</v>
      </c>
      <c r="D111" s="400" t="s">
        <v>2</v>
      </c>
      <c r="E111" s="46" t="s">
        <v>29</v>
      </c>
      <c r="F111" s="32" t="s">
        <v>14</v>
      </c>
      <c r="G111" s="46" t="s">
        <v>33</v>
      </c>
      <c r="H111" s="46">
        <v>1</v>
      </c>
      <c r="I111" s="407">
        <f t="shared" si="8"/>
        <v>1</v>
      </c>
      <c r="J111" s="46" t="s">
        <v>31</v>
      </c>
      <c r="K111" s="46" t="s">
        <v>31</v>
      </c>
      <c r="L111" s="46" t="s">
        <v>31</v>
      </c>
      <c r="M111" s="46" t="s">
        <v>31</v>
      </c>
      <c r="N111" s="46"/>
      <c r="O111" s="401"/>
      <c r="P111" s="402"/>
      <c r="Q111" s="46"/>
      <c r="R111" s="46"/>
      <c r="S111" s="46"/>
      <c r="T111" s="46"/>
      <c r="U111" s="46"/>
    </row>
    <row r="112" spans="1:21">
      <c r="A112" s="47" t="s">
        <v>601</v>
      </c>
      <c r="B112" s="384">
        <f>R112</f>
        <v>1.8E-5</v>
      </c>
      <c r="C112" s="46" t="s">
        <v>37</v>
      </c>
      <c r="D112" s="46" t="s">
        <v>40</v>
      </c>
      <c r="E112" s="46" t="s">
        <v>29</v>
      </c>
      <c r="F112" s="32" t="s">
        <v>35</v>
      </c>
      <c r="G112" s="46" t="s">
        <v>33</v>
      </c>
      <c r="H112" s="46">
        <v>2</v>
      </c>
      <c r="I112" s="46">
        <f>LN(B112)</f>
        <v>-10.92513880006811</v>
      </c>
      <c r="J112" s="46">
        <v>2.8722813232690055E-2</v>
      </c>
      <c r="K112" s="46" t="s">
        <v>31</v>
      </c>
      <c r="L112" s="46" t="s">
        <v>31</v>
      </c>
      <c r="M112" s="46" t="s">
        <v>31</v>
      </c>
      <c r="N112" s="46"/>
      <c r="O112" s="434" t="s">
        <v>575</v>
      </c>
      <c r="P112" s="444">
        <v>1.7999999999999999E-2</v>
      </c>
      <c r="Q112" s="46" t="s">
        <v>221</v>
      </c>
      <c r="R112" s="384">
        <f>P112*10^-3</f>
        <v>1.8E-5</v>
      </c>
      <c r="S112" s="46"/>
      <c r="T112" s="46"/>
      <c r="U112" s="46"/>
    </row>
    <row r="113" spans="1:21" s="41" customFormat="1">
      <c r="A113" s="362" t="s">
        <v>5</v>
      </c>
      <c r="B113" s="363" t="s">
        <v>1024</v>
      </c>
      <c r="C113" s="364"/>
      <c r="D113" s="345"/>
      <c r="E113" s="345"/>
      <c r="F113" s="345"/>
      <c r="G113" s="345"/>
      <c r="H113" s="345"/>
      <c r="I113" s="345"/>
      <c r="J113" s="345"/>
      <c r="K113" s="345"/>
      <c r="L113" s="345"/>
      <c r="M113" s="345"/>
      <c r="N113" s="345"/>
      <c r="O113" s="345"/>
      <c r="P113" s="345"/>
      <c r="Q113" s="345"/>
      <c r="R113" s="345"/>
      <c r="S113" s="345"/>
      <c r="T113" s="345"/>
      <c r="U113" s="345"/>
    </row>
    <row r="114" spans="1:21">
      <c r="A114" s="338" t="s">
        <v>7</v>
      </c>
      <c r="B114" s="46" t="s">
        <v>779</v>
      </c>
      <c r="C114" s="337"/>
      <c r="D114" s="46"/>
      <c r="E114" s="46"/>
      <c r="F114" s="46"/>
      <c r="G114" s="46"/>
      <c r="H114" s="46"/>
      <c r="I114" s="46"/>
      <c r="J114" s="46"/>
      <c r="K114" s="46"/>
      <c r="L114" s="46"/>
      <c r="M114" s="46"/>
      <c r="N114" s="46"/>
      <c r="O114" s="46"/>
      <c r="P114" s="46"/>
      <c r="Q114" s="46"/>
      <c r="R114" s="46"/>
      <c r="S114" s="46"/>
      <c r="T114" s="46"/>
      <c r="U114" s="46"/>
    </row>
    <row r="115" spans="1:21">
      <c r="A115" s="416" t="s">
        <v>9</v>
      </c>
      <c r="B115" s="46" t="s">
        <v>1025</v>
      </c>
      <c r="C115" s="337"/>
      <c r="D115" s="46"/>
      <c r="E115" s="46"/>
      <c r="F115" s="46"/>
      <c r="G115" s="46"/>
      <c r="H115" s="46"/>
      <c r="I115" s="46"/>
      <c r="J115" s="46"/>
      <c r="K115" s="46"/>
      <c r="L115" s="46"/>
      <c r="M115" s="46"/>
      <c r="N115" s="46"/>
      <c r="O115" s="46"/>
      <c r="P115" s="46"/>
      <c r="Q115" s="46"/>
      <c r="R115" s="46"/>
      <c r="S115" s="46"/>
      <c r="T115" s="46"/>
      <c r="U115" s="46"/>
    </row>
    <row r="116" spans="1:21" ht="15.75" customHeight="1">
      <c r="A116" s="338" t="s">
        <v>11</v>
      </c>
      <c r="B116" s="339" t="s">
        <v>789</v>
      </c>
      <c r="C116" s="46"/>
      <c r="D116" s="46"/>
      <c r="E116" s="46"/>
      <c r="F116" s="46"/>
      <c r="G116" s="46"/>
      <c r="H116" s="46"/>
      <c r="I116" s="46"/>
      <c r="J116" s="46"/>
      <c r="K116" s="46"/>
      <c r="L116" s="46"/>
      <c r="M116" s="46"/>
      <c r="N116" s="46"/>
      <c r="O116" s="46"/>
      <c r="P116" s="46"/>
      <c r="Q116" s="46"/>
      <c r="R116" s="46"/>
      <c r="S116" s="46"/>
      <c r="T116" s="46"/>
      <c r="U116" s="46"/>
    </row>
    <row r="117" spans="1:21">
      <c r="A117" s="338" t="s">
        <v>13</v>
      </c>
      <c r="B117" s="46" t="s">
        <v>14</v>
      </c>
      <c r="C117" s="46"/>
      <c r="D117" s="46"/>
      <c r="E117" s="46"/>
      <c r="F117" s="46"/>
      <c r="G117" s="46"/>
      <c r="H117" s="46"/>
      <c r="I117" s="46"/>
      <c r="J117" s="46"/>
      <c r="K117" s="46"/>
      <c r="L117" s="46"/>
      <c r="M117" s="46"/>
      <c r="N117" s="46"/>
      <c r="O117" s="46"/>
      <c r="P117" s="46"/>
      <c r="Q117" s="46"/>
      <c r="R117" s="46"/>
      <c r="S117" s="46"/>
      <c r="T117" s="46"/>
      <c r="U117" s="46"/>
    </row>
    <row r="118" spans="1:21">
      <c r="A118" s="338" t="s">
        <v>15</v>
      </c>
      <c r="B118" s="46">
        <v>1</v>
      </c>
      <c r="C118" s="46"/>
      <c r="D118" s="46"/>
      <c r="E118" s="46"/>
      <c r="F118" s="46"/>
      <c r="G118" s="46"/>
      <c r="H118" s="46"/>
      <c r="I118" s="46"/>
      <c r="J118" s="46"/>
      <c r="K118" s="46"/>
      <c r="L118" s="46"/>
      <c r="M118" s="46"/>
      <c r="N118" s="46"/>
      <c r="O118" s="46"/>
      <c r="P118" s="46"/>
      <c r="Q118" s="46"/>
      <c r="R118" s="46"/>
      <c r="S118" s="46"/>
      <c r="T118" s="46"/>
      <c r="U118" s="46"/>
    </row>
    <row r="119" spans="1:21">
      <c r="A119" s="338" t="s">
        <v>16</v>
      </c>
      <c r="B119" s="46" t="s">
        <v>17</v>
      </c>
      <c r="C119" s="46"/>
      <c r="D119" s="46"/>
      <c r="E119" s="46"/>
      <c r="F119" s="46"/>
      <c r="G119" s="46"/>
      <c r="H119" s="46"/>
      <c r="I119" s="46"/>
      <c r="J119" s="46"/>
      <c r="K119" s="46"/>
      <c r="L119" s="46"/>
      <c r="M119" s="46"/>
      <c r="N119" s="46"/>
      <c r="O119" s="46"/>
      <c r="P119" s="46"/>
      <c r="Q119" s="46"/>
      <c r="R119" s="46"/>
      <c r="S119" s="46"/>
      <c r="T119" s="46"/>
      <c r="U119" s="46"/>
    </row>
    <row r="120" spans="1:21">
      <c r="A120" s="338" t="s">
        <v>18</v>
      </c>
      <c r="B120" s="46" t="s">
        <v>18</v>
      </c>
      <c r="C120" s="46"/>
      <c r="D120" s="46"/>
      <c r="E120" s="46"/>
      <c r="F120" s="46"/>
      <c r="G120" s="46"/>
      <c r="H120" s="46"/>
      <c r="I120" s="46"/>
      <c r="J120" s="46"/>
      <c r="K120" s="46"/>
      <c r="L120" s="46"/>
      <c r="M120" s="46"/>
      <c r="N120" s="46"/>
      <c r="O120" s="46"/>
      <c r="P120" s="46"/>
      <c r="Q120" s="46"/>
      <c r="R120" s="46"/>
      <c r="S120" s="46"/>
      <c r="T120" s="46"/>
      <c r="U120" s="46"/>
    </row>
    <row r="121" spans="1:21">
      <c r="A121" s="335" t="s">
        <v>19</v>
      </c>
      <c r="B121" s="46"/>
      <c r="C121" s="46"/>
      <c r="D121" s="46"/>
      <c r="E121" s="46"/>
      <c r="F121" s="46"/>
      <c r="G121" s="46"/>
      <c r="H121" s="46"/>
      <c r="I121" s="46"/>
      <c r="J121" s="46"/>
      <c r="K121" s="46"/>
      <c r="L121" s="46"/>
      <c r="M121" s="46"/>
      <c r="N121" s="46"/>
      <c r="O121" s="46"/>
      <c r="P121" s="46"/>
      <c r="Q121" s="46"/>
      <c r="R121" s="46"/>
      <c r="S121" s="46"/>
      <c r="T121" s="46"/>
      <c r="U121" s="46"/>
    </row>
    <row r="122" spans="1:21">
      <c r="A122" s="335" t="s">
        <v>20</v>
      </c>
      <c r="B122" s="336" t="s">
        <v>21</v>
      </c>
      <c r="C122" s="336" t="s">
        <v>18</v>
      </c>
      <c r="D122" s="336" t="s">
        <v>22</v>
      </c>
      <c r="E122" s="336" t="s">
        <v>7</v>
      </c>
      <c r="F122" s="336" t="s">
        <v>13</v>
      </c>
      <c r="G122" s="336" t="s">
        <v>16</v>
      </c>
      <c r="H122" s="336" t="s">
        <v>23</v>
      </c>
      <c r="I122" s="336" t="s">
        <v>24</v>
      </c>
      <c r="J122" s="336" t="s">
        <v>25</v>
      </c>
      <c r="K122" s="336" t="s">
        <v>26</v>
      </c>
      <c r="L122" s="336" t="s">
        <v>27</v>
      </c>
      <c r="M122" s="336" t="s">
        <v>28</v>
      </c>
      <c r="N122" s="336" t="s">
        <v>11</v>
      </c>
      <c r="O122" s="46"/>
      <c r="P122" s="46"/>
      <c r="Q122" s="46"/>
      <c r="R122" s="46"/>
      <c r="S122" s="46"/>
      <c r="T122" s="46"/>
      <c r="U122" s="46"/>
    </row>
    <row r="123" spans="1:21">
      <c r="A123" s="46" t="s">
        <v>1024</v>
      </c>
      <c r="B123" s="46">
        <v>1</v>
      </c>
      <c r="C123" s="46" t="s">
        <v>18</v>
      </c>
      <c r="D123" s="400" t="s">
        <v>2</v>
      </c>
      <c r="E123" s="46" t="s">
        <v>29</v>
      </c>
      <c r="F123" s="32" t="s">
        <v>14</v>
      </c>
      <c r="G123" s="46" t="s">
        <v>30</v>
      </c>
      <c r="H123" s="46">
        <v>1</v>
      </c>
      <c r="I123" s="407">
        <f t="shared" ref="I123:I124" si="9">B123</f>
        <v>1</v>
      </c>
      <c r="J123" s="46" t="s">
        <v>31</v>
      </c>
      <c r="K123" s="46" t="s">
        <v>31</v>
      </c>
      <c r="L123" s="46" t="s">
        <v>31</v>
      </c>
      <c r="M123" s="46" t="s">
        <v>31</v>
      </c>
      <c r="N123" s="46"/>
      <c r="O123" s="46"/>
      <c r="P123" s="46"/>
      <c r="Q123" s="46"/>
      <c r="R123" s="46"/>
      <c r="S123" s="46"/>
      <c r="T123" s="46"/>
      <c r="U123" s="46"/>
    </row>
    <row r="124" spans="1:21">
      <c r="A124" s="47" t="s">
        <v>610</v>
      </c>
      <c r="B124" s="46">
        <f>R124</f>
        <v>0.04</v>
      </c>
      <c r="C124" s="46" t="s">
        <v>37</v>
      </c>
      <c r="D124" s="46" t="s">
        <v>40</v>
      </c>
      <c r="E124" s="46" t="s">
        <v>29</v>
      </c>
      <c r="F124" s="46" t="s">
        <v>58</v>
      </c>
      <c r="G124" s="46" t="s">
        <v>33</v>
      </c>
      <c r="H124" s="46">
        <v>1</v>
      </c>
      <c r="I124" s="407">
        <f t="shared" si="9"/>
        <v>0.04</v>
      </c>
      <c r="J124" s="46" t="s">
        <v>31</v>
      </c>
      <c r="K124" s="46" t="s">
        <v>31</v>
      </c>
      <c r="L124" s="46" t="s">
        <v>31</v>
      </c>
      <c r="M124" s="46" t="s">
        <v>31</v>
      </c>
      <c r="N124" s="46"/>
      <c r="O124" s="46"/>
      <c r="P124" s="46"/>
      <c r="Q124" s="46" t="s">
        <v>221</v>
      </c>
      <c r="R124" s="46">
        <v>0.04</v>
      </c>
      <c r="S124" s="46"/>
      <c r="T124" s="46"/>
      <c r="U124" s="46"/>
    </row>
    <row r="125" spans="1:21">
      <c r="A125" s="47" t="s">
        <v>908</v>
      </c>
      <c r="B125" s="46">
        <f t="shared" ref="B125:B127" si="10">R125</f>
        <v>2.9000000000000001E-2</v>
      </c>
      <c r="C125" s="46" t="s">
        <v>37</v>
      </c>
      <c r="D125" s="46" t="s">
        <v>40</v>
      </c>
      <c r="E125" s="46" t="s">
        <v>29</v>
      </c>
      <c r="F125" s="46" t="s">
        <v>58</v>
      </c>
      <c r="G125" s="46" t="s">
        <v>33</v>
      </c>
      <c r="H125" s="46">
        <v>2</v>
      </c>
      <c r="I125" s="46">
        <f>LN(B125)</f>
        <v>-3.5404594489956631</v>
      </c>
      <c r="J125" s="46">
        <v>3.7749172176353707E-2</v>
      </c>
      <c r="K125" s="46" t="s">
        <v>31</v>
      </c>
      <c r="L125" s="46" t="s">
        <v>31</v>
      </c>
      <c r="M125" s="46" t="s">
        <v>31</v>
      </c>
      <c r="N125" s="46"/>
      <c r="O125" s="393" t="s">
        <v>575</v>
      </c>
      <c r="P125" s="406">
        <v>29</v>
      </c>
      <c r="Q125" s="46" t="s">
        <v>221</v>
      </c>
      <c r="R125" s="46">
        <f>P125*0.001</f>
        <v>2.9000000000000001E-2</v>
      </c>
      <c r="S125" s="46"/>
      <c r="T125" s="46"/>
      <c r="U125" s="46"/>
    </row>
    <row r="126" spans="1:21">
      <c r="A126" s="47" t="s">
        <v>909</v>
      </c>
      <c r="B126" s="46">
        <f t="shared" si="10"/>
        <v>1.8000000000000002E-3</v>
      </c>
      <c r="C126" s="46" t="s">
        <v>37</v>
      </c>
      <c r="D126" s="46" t="s">
        <v>40</v>
      </c>
      <c r="E126" s="46" t="s">
        <v>29</v>
      </c>
      <c r="F126" s="46" t="s">
        <v>58</v>
      </c>
      <c r="G126" s="46" t="s">
        <v>33</v>
      </c>
      <c r="H126" s="46">
        <v>2</v>
      </c>
      <c r="I126" s="46">
        <f>LN(B126)</f>
        <v>-6.3199686140800182</v>
      </c>
      <c r="J126" s="46">
        <v>3.7749172176353707E-2</v>
      </c>
      <c r="K126" s="46" t="s">
        <v>31</v>
      </c>
      <c r="L126" s="46" t="s">
        <v>31</v>
      </c>
      <c r="M126" s="46" t="s">
        <v>31</v>
      </c>
      <c r="N126" s="46"/>
      <c r="O126" s="393" t="s">
        <v>575</v>
      </c>
      <c r="P126" s="406">
        <v>1.8</v>
      </c>
      <c r="Q126" s="46" t="s">
        <v>221</v>
      </c>
      <c r="R126" s="46">
        <f t="shared" ref="R126:R127" si="11">P126*0.001</f>
        <v>1.8000000000000002E-3</v>
      </c>
      <c r="S126" s="46"/>
      <c r="T126" s="46"/>
      <c r="U126" s="46"/>
    </row>
    <row r="127" spans="1:21">
      <c r="A127" s="47" t="s">
        <v>910</v>
      </c>
      <c r="B127" s="46">
        <f t="shared" si="10"/>
        <v>1.3000000000000001E-2</v>
      </c>
      <c r="C127" s="46" t="s">
        <v>37</v>
      </c>
      <c r="D127" s="46" t="s">
        <v>40</v>
      </c>
      <c r="E127" s="46" t="s">
        <v>29</v>
      </c>
      <c r="F127" s="46" t="s">
        <v>58</v>
      </c>
      <c r="G127" s="46" t="s">
        <v>33</v>
      </c>
      <c r="H127" s="46">
        <v>2</v>
      </c>
      <c r="I127" s="46">
        <f>LN(B127)</f>
        <v>-4.3428059215206005</v>
      </c>
      <c r="J127" s="46">
        <v>3.7749172176353707E-2</v>
      </c>
      <c r="K127" s="46" t="s">
        <v>31</v>
      </c>
      <c r="L127" s="46" t="s">
        <v>31</v>
      </c>
      <c r="M127" s="46" t="s">
        <v>31</v>
      </c>
      <c r="N127" s="46"/>
      <c r="O127" s="393" t="s">
        <v>575</v>
      </c>
      <c r="P127" s="406">
        <v>13</v>
      </c>
      <c r="Q127" s="46" t="s">
        <v>221</v>
      </c>
      <c r="R127" s="46">
        <f t="shared" si="11"/>
        <v>1.3000000000000001E-2</v>
      </c>
      <c r="S127" s="46"/>
      <c r="T127" s="46"/>
      <c r="U127" s="46"/>
    </row>
    <row r="128" spans="1:21" s="41" customFormat="1">
      <c r="A128" s="362" t="s">
        <v>5</v>
      </c>
      <c r="B128" s="148" t="s">
        <v>1023</v>
      </c>
      <c r="C128" s="364"/>
      <c r="D128" s="345"/>
      <c r="E128" s="345"/>
      <c r="F128" s="345"/>
      <c r="G128" s="345"/>
      <c r="H128" s="345"/>
      <c r="I128" s="345"/>
      <c r="J128" s="345"/>
      <c r="K128" s="345"/>
      <c r="L128" s="345"/>
      <c r="M128" s="345"/>
      <c r="N128" s="345"/>
      <c r="O128" s="345"/>
      <c r="P128" s="345"/>
      <c r="Q128" s="345"/>
      <c r="R128" s="345"/>
      <c r="S128" s="345"/>
      <c r="T128" s="345"/>
      <c r="U128" s="345"/>
    </row>
    <row r="129" spans="1:21">
      <c r="A129" s="338" t="s">
        <v>7</v>
      </c>
      <c r="B129" s="46" t="s">
        <v>779</v>
      </c>
      <c r="C129" s="337"/>
      <c r="D129" s="46"/>
      <c r="E129" s="46"/>
      <c r="F129" s="46"/>
      <c r="G129" s="46"/>
      <c r="H129" s="46"/>
      <c r="I129" s="46"/>
      <c r="J129" s="46"/>
      <c r="K129" s="46"/>
      <c r="L129" s="46"/>
      <c r="M129" s="46"/>
      <c r="N129" s="46"/>
      <c r="O129" s="46"/>
      <c r="P129" s="46"/>
      <c r="Q129" s="46"/>
      <c r="R129" s="46"/>
      <c r="S129" s="46"/>
      <c r="T129" s="46"/>
      <c r="U129" s="46"/>
    </row>
    <row r="130" spans="1:21">
      <c r="A130" s="416" t="s">
        <v>9</v>
      </c>
      <c r="B130" s="46" t="s">
        <v>1026</v>
      </c>
      <c r="C130" s="337"/>
      <c r="D130" s="46"/>
      <c r="E130" s="46"/>
      <c r="F130" s="46"/>
      <c r="G130" s="46"/>
      <c r="H130" s="46"/>
      <c r="I130" s="46"/>
      <c r="J130" s="46"/>
      <c r="K130" s="46"/>
      <c r="L130" s="46"/>
      <c r="M130" s="46"/>
      <c r="N130" s="46"/>
      <c r="O130" s="46"/>
      <c r="P130" s="46"/>
      <c r="Q130" s="46"/>
      <c r="R130" s="46"/>
      <c r="S130" s="46"/>
      <c r="T130" s="46"/>
      <c r="U130" s="46"/>
    </row>
    <row r="131" spans="1:21" ht="15.75" customHeight="1">
      <c r="A131" s="338" t="s">
        <v>11</v>
      </c>
      <c r="B131" s="339" t="s">
        <v>789</v>
      </c>
      <c r="C131" s="46"/>
      <c r="D131" s="46"/>
      <c r="E131" s="46"/>
      <c r="F131" s="46"/>
      <c r="G131" s="46"/>
      <c r="H131" s="46"/>
      <c r="I131" s="46"/>
      <c r="J131" s="46"/>
      <c r="K131" s="46"/>
      <c r="L131" s="46"/>
      <c r="M131" s="46"/>
      <c r="N131" s="46"/>
      <c r="O131" s="46"/>
      <c r="P131" s="46"/>
      <c r="Q131" s="46"/>
      <c r="R131" s="46"/>
      <c r="S131" s="46"/>
      <c r="T131" s="46"/>
      <c r="U131" s="46"/>
    </row>
    <row r="132" spans="1:21">
      <c r="A132" s="338" t="s">
        <v>13</v>
      </c>
      <c r="B132" s="46" t="s">
        <v>14</v>
      </c>
      <c r="C132" s="46"/>
      <c r="D132" s="46"/>
      <c r="E132" s="46"/>
      <c r="F132" s="46"/>
      <c r="G132" s="46"/>
      <c r="H132" s="46"/>
      <c r="I132" s="46"/>
      <c r="J132" s="46"/>
      <c r="K132" s="46"/>
      <c r="L132" s="46"/>
      <c r="M132" s="46"/>
      <c r="N132" s="46"/>
      <c r="O132" s="46"/>
      <c r="P132" s="46"/>
      <c r="Q132" s="46"/>
      <c r="R132" s="46"/>
      <c r="S132" s="46"/>
      <c r="T132" s="46"/>
      <c r="U132" s="46"/>
    </row>
    <row r="133" spans="1:21">
      <c r="A133" s="338" t="s">
        <v>15</v>
      </c>
      <c r="B133" s="417">
        <f>B138</f>
        <v>3.8E-3</v>
      </c>
      <c r="C133" s="46"/>
      <c r="D133" s="46"/>
      <c r="E133" s="46"/>
      <c r="F133" s="46"/>
      <c r="G133" s="46"/>
      <c r="H133" s="46"/>
      <c r="I133" s="46"/>
      <c r="J133" s="46"/>
      <c r="K133" s="46"/>
      <c r="L133" s="46"/>
      <c r="M133" s="46"/>
      <c r="N133" s="46"/>
      <c r="O133" s="46"/>
      <c r="P133" s="46"/>
      <c r="Q133" s="46"/>
      <c r="R133" s="46"/>
      <c r="S133" s="46"/>
      <c r="T133" s="46"/>
      <c r="U133" s="46"/>
    </row>
    <row r="134" spans="1:21">
      <c r="A134" s="338" t="s">
        <v>16</v>
      </c>
      <c r="B134" s="46" t="s">
        <v>17</v>
      </c>
      <c r="C134" s="46"/>
      <c r="D134" s="46"/>
      <c r="E134" s="46"/>
      <c r="F134" s="46"/>
      <c r="G134" s="46"/>
      <c r="H134" s="46"/>
      <c r="I134" s="46"/>
      <c r="J134" s="46"/>
      <c r="K134" s="46"/>
      <c r="L134" s="46"/>
      <c r="M134" s="46"/>
      <c r="N134" s="46"/>
      <c r="O134" s="46"/>
      <c r="P134" s="46"/>
      <c r="Q134" s="46"/>
      <c r="R134" s="46"/>
      <c r="S134" s="46"/>
      <c r="T134" s="46"/>
      <c r="U134" s="46"/>
    </row>
    <row r="135" spans="1:21">
      <c r="A135" s="338" t="s">
        <v>18</v>
      </c>
      <c r="B135" s="46" t="s">
        <v>113</v>
      </c>
      <c r="C135" s="46"/>
      <c r="D135" s="46"/>
      <c r="E135" s="46"/>
      <c r="F135" s="46"/>
      <c r="G135" s="46"/>
      <c r="H135" s="46"/>
      <c r="I135" s="46"/>
      <c r="J135" s="46"/>
      <c r="K135" s="46"/>
      <c r="L135" s="46"/>
      <c r="M135" s="46"/>
      <c r="N135" s="46"/>
      <c r="O135" s="46"/>
      <c r="P135" s="46"/>
      <c r="Q135" s="46"/>
      <c r="R135" s="46"/>
      <c r="S135" s="46"/>
      <c r="T135" s="46"/>
      <c r="U135" s="46"/>
    </row>
    <row r="136" spans="1:21">
      <c r="A136" s="335" t="s">
        <v>19</v>
      </c>
      <c r="B136" s="46"/>
      <c r="C136" s="46"/>
      <c r="D136" s="46"/>
      <c r="E136" s="46"/>
      <c r="F136" s="46"/>
      <c r="G136" s="46"/>
      <c r="H136" s="46"/>
      <c r="I136" s="46"/>
      <c r="J136" s="46"/>
      <c r="K136" s="46"/>
      <c r="L136" s="46"/>
      <c r="M136" s="46"/>
      <c r="N136" s="46"/>
      <c r="O136" s="46"/>
      <c r="P136" s="46"/>
      <c r="Q136" s="46"/>
      <c r="R136" s="46"/>
      <c r="S136" s="46"/>
      <c r="T136" s="46"/>
      <c r="U136" s="46"/>
    </row>
    <row r="137" spans="1:21">
      <c r="A137" s="336" t="s">
        <v>20</v>
      </c>
      <c r="B137" s="336" t="s">
        <v>21</v>
      </c>
      <c r="C137" s="336" t="s">
        <v>18</v>
      </c>
      <c r="D137" s="336" t="s">
        <v>22</v>
      </c>
      <c r="E137" s="336" t="s">
        <v>7</v>
      </c>
      <c r="F137" s="336" t="s">
        <v>13</v>
      </c>
      <c r="G137" s="336" t="s">
        <v>16</v>
      </c>
      <c r="H137" s="336" t="s">
        <v>23</v>
      </c>
      <c r="I137" s="336" t="s">
        <v>24</v>
      </c>
      <c r="J137" s="336" t="s">
        <v>25</v>
      </c>
      <c r="K137" s="336" t="s">
        <v>26</v>
      </c>
      <c r="L137" s="336" t="s">
        <v>27</v>
      </c>
      <c r="M137" s="336" t="s">
        <v>28</v>
      </c>
      <c r="N137" s="336" t="s">
        <v>11</v>
      </c>
      <c r="O137" s="46"/>
      <c r="P137" s="46"/>
      <c r="Q137" s="46"/>
      <c r="R137" s="46"/>
      <c r="S137" s="46"/>
      <c r="T137" s="46"/>
      <c r="U137" s="46"/>
    </row>
    <row r="138" spans="1:21">
      <c r="A138" s="46" t="s">
        <v>1023</v>
      </c>
      <c r="B138" s="461">
        <v>3.8E-3</v>
      </c>
      <c r="C138" s="46" t="s">
        <v>113</v>
      </c>
      <c r="D138" s="400" t="s">
        <v>2</v>
      </c>
      <c r="E138" s="46" t="s">
        <v>29</v>
      </c>
      <c r="F138" s="32" t="s">
        <v>14</v>
      </c>
      <c r="G138" s="46" t="s">
        <v>30</v>
      </c>
      <c r="H138" s="46">
        <v>1</v>
      </c>
      <c r="I138" s="407">
        <f t="shared" ref="I138:I139" si="12">B138</f>
        <v>3.8E-3</v>
      </c>
      <c r="J138" s="46" t="s">
        <v>31</v>
      </c>
      <c r="K138" s="46" t="s">
        <v>31</v>
      </c>
      <c r="L138" s="46" t="s">
        <v>31</v>
      </c>
      <c r="M138" s="46" t="s">
        <v>31</v>
      </c>
      <c r="N138" s="46"/>
      <c r="O138" s="401"/>
      <c r="P138" s="462">
        <v>8.8999999999999996E-2</v>
      </c>
      <c r="Q138" s="342"/>
      <c r="R138" s="46"/>
      <c r="S138" s="46"/>
      <c r="T138" s="46"/>
      <c r="U138" s="46"/>
    </row>
    <row r="139" spans="1:21">
      <c r="A139" s="62" t="s">
        <v>1027</v>
      </c>
      <c r="B139" s="461">
        <v>3.8E-3</v>
      </c>
      <c r="C139" s="46" t="s">
        <v>113</v>
      </c>
      <c r="D139" s="400" t="s">
        <v>2</v>
      </c>
      <c r="E139" s="46" t="s">
        <v>29</v>
      </c>
      <c r="F139" s="32" t="s">
        <v>14</v>
      </c>
      <c r="G139" s="46" t="s">
        <v>33</v>
      </c>
      <c r="H139" s="46">
        <v>1</v>
      </c>
      <c r="I139" s="407">
        <f t="shared" si="12"/>
        <v>3.8E-3</v>
      </c>
      <c r="J139" s="46" t="s">
        <v>31</v>
      </c>
      <c r="K139" s="46" t="s">
        <v>31</v>
      </c>
      <c r="L139" s="46" t="s">
        <v>31</v>
      </c>
      <c r="M139" s="46" t="s">
        <v>31</v>
      </c>
      <c r="N139" s="46"/>
      <c r="O139" s="46"/>
      <c r="P139" s="462">
        <v>8.8999999999999996E-2</v>
      </c>
      <c r="Q139" s="46"/>
      <c r="R139" s="46"/>
      <c r="S139" s="46"/>
      <c r="T139" s="46"/>
      <c r="U139" s="46"/>
    </row>
    <row r="140" spans="1:21">
      <c r="A140" s="47" t="s">
        <v>683</v>
      </c>
      <c r="B140" s="46">
        <f>R140</f>
        <v>2.9999999999999997E-4</v>
      </c>
      <c r="C140" s="46" t="s">
        <v>37</v>
      </c>
      <c r="D140" s="46" t="s">
        <v>40</v>
      </c>
      <c r="E140" s="46" t="s">
        <v>29</v>
      </c>
      <c r="F140" s="46" t="s">
        <v>35</v>
      </c>
      <c r="G140" s="46" t="s">
        <v>33</v>
      </c>
      <c r="H140" s="46">
        <v>2</v>
      </c>
      <c r="I140" s="46">
        <f>LN(B140)</f>
        <v>-8.1117280833080727</v>
      </c>
      <c r="J140" s="46">
        <v>0.20928449536456342</v>
      </c>
      <c r="K140" s="46" t="s">
        <v>31</v>
      </c>
      <c r="L140" s="46" t="s">
        <v>31</v>
      </c>
      <c r="M140" s="46" t="s">
        <v>31</v>
      </c>
      <c r="N140" s="46"/>
      <c r="O140" s="393" t="s">
        <v>575</v>
      </c>
      <c r="P140" s="406">
        <v>0.3</v>
      </c>
      <c r="Q140" s="46" t="s">
        <v>221</v>
      </c>
      <c r="R140" s="46">
        <f>0.001*P140</f>
        <v>2.9999999999999997E-4</v>
      </c>
      <c r="S140" s="46"/>
      <c r="T140" s="46"/>
      <c r="U140" s="46"/>
    </row>
    <row r="141" spans="1:21">
      <c r="A141" s="47" t="s">
        <v>530</v>
      </c>
      <c r="B141" s="46">
        <f>R141</f>
        <v>2.9999999999999997E-4</v>
      </c>
      <c r="C141" s="46" t="s">
        <v>37</v>
      </c>
      <c r="D141" s="46" t="s">
        <v>40</v>
      </c>
      <c r="E141" s="46" t="s">
        <v>29</v>
      </c>
      <c r="F141" s="46" t="s">
        <v>35</v>
      </c>
      <c r="G141" s="46" t="s">
        <v>33</v>
      </c>
      <c r="H141" s="46">
        <v>2</v>
      </c>
      <c r="I141" s="46">
        <f>LN(B141)</f>
        <v>-8.1117280833080727</v>
      </c>
      <c r="J141" s="46">
        <v>0.20928449536456342</v>
      </c>
      <c r="K141" s="46" t="s">
        <v>31</v>
      </c>
      <c r="L141" s="46" t="s">
        <v>31</v>
      </c>
      <c r="M141" s="46" t="s">
        <v>31</v>
      </c>
      <c r="N141" s="46"/>
      <c r="O141" s="393" t="s">
        <v>575</v>
      </c>
      <c r="P141" s="406">
        <v>0.3</v>
      </c>
      <c r="Q141" s="46" t="s">
        <v>221</v>
      </c>
      <c r="R141" s="46">
        <f>0.001*P141</f>
        <v>2.9999999999999997E-4</v>
      </c>
      <c r="S141" s="46"/>
      <c r="T141" s="46"/>
      <c r="U141" s="46"/>
    </row>
    <row r="142" spans="1:21" s="41" customFormat="1">
      <c r="A142" s="362" t="s">
        <v>5</v>
      </c>
      <c r="B142" s="438" t="s">
        <v>1027</v>
      </c>
      <c r="C142" s="364"/>
      <c r="D142" s="345"/>
      <c r="E142" s="345"/>
      <c r="F142" s="345"/>
      <c r="G142" s="345"/>
      <c r="H142" s="345"/>
      <c r="I142" s="345"/>
      <c r="J142" s="345"/>
      <c r="K142" s="345"/>
      <c r="L142" s="345"/>
      <c r="M142" s="345"/>
      <c r="N142" s="345"/>
      <c r="O142" s="345"/>
      <c r="P142" s="345"/>
      <c r="Q142" s="345"/>
      <c r="R142" s="345"/>
      <c r="S142" s="345"/>
      <c r="T142" s="345"/>
      <c r="U142" s="345"/>
    </row>
    <row r="143" spans="1:21">
      <c r="A143" s="338" t="s">
        <v>7</v>
      </c>
      <c r="B143" s="46" t="s">
        <v>779</v>
      </c>
      <c r="C143" s="337"/>
      <c r="D143" s="46"/>
      <c r="E143" s="46"/>
      <c r="F143" s="46"/>
      <c r="G143" s="46"/>
      <c r="H143" s="46"/>
      <c r="I143" s="46"/>
      <c r="J143" s="46"/>
      <c r="K143" s="46"/>
      <c r="L143" s="46"/>
      <c r="M143" s="46"/>
      <c r="N143" s="46"/>
      <c r="O143" s="46"/>
      <c r="P143" s="46"/>
      <c r="Q143" s="46"/>
      <c r="R143" s="46"/>
      <c r="S143" s="46"/>
      <c r="T143" s="46"/>
      <c r="U143" s="46"/>
    </row>
    <row r="144" spans="1:21">
      <c r="A144" s="416" t="s">
        <v>9</v>
      </c>
      <c r="B144" s="46" t="s">
        <v>1028</v>
      </c>
      <c r="C144" s="337"/>
      <c r="D144" s="46"/>
      <c r="E144" s="46"/>
      <c r="F144" s="46"/>
      <c r="G144" s="46"/>
      <c r="H144" s="46"/>
      <c r="I144" s="46"/>
      <c r="J144" s="46"/>
      <c r="K144" s="46"/>
      <c r="L144" s="46"/>
      <c r="M144" s="46"/>
      <c r="N144" s="46"/>
      <c r="O144" s="46"/>
      <c r="P144" s="46"/>
      <c r="Q144" s="46"/>
      <c r="R144" s="46"/>
      <c r="S144" s="46"/>
      <c r="T144" s="46"/>
      <c r="U144" s="46"/>
    </row>
    <row r="145" spans="1:21" ht="15.75" customHeight="1">
      <c r="A145" s="338" t="s">
        <v>11</v>
      </c>
      <c r="B145" s="339" t="s">
        <v>789</v>
      </c>
      <c r="C145" s="46"/>
      <c r="D145" s="46"/>
      <c r="E145" s="46"/>
      <c r="F145" s="46"/>
      <c r="G145" s="46"/>
      <c r="H145" s="46"/>
      <c r="I145" s="46"/>
      <c r="J145" s="46"/>
      <c r="K145" s="46"/>
      <c r="L145" s="46"/>
      <c r="M145" s="46"/>
      <c r="N145" s="46"/>
      <c r="O145" s="46"/>
      <c r="P145" s="46"/>
      <c r="Q145" s="46"/>
      <c r="R145" s="46"/>
      <c r="S145" s="46"/>
      <c r="T145" s="46"/>
      <c r="U145" s="46"/>
    </row>
    <row r="146" spans="1:21">
      <c r="A146" s="338" t="s">
        <v>13</v>
      </c>
      <c r="B146" s="46" t="s">
        <v>14</v>
      </c>
      <c r="C146" s="46"/>
      <c r="D146" s="46"/>
      <c r="E146" s="46"/>
      <c r="F146" s="46"/>
      <c r="G146" s="46"/>
      <c r="H146" s="46"/>
      <c r="I146" s="46"/>
      <c r="J146" s="46"/>
      <c r="K146" s="46"/>
      <c r="L146" s="46"/>
      <c r="M146" s="46"/>
      <c r="N146" s="46"/>
      <c r="O146" s="46"/>
      <c r="P146" s="46"/>
      <c r="Q146" s="46"/>
      <c r="R146" s="46"/>
      <c r="S146" s="46"/>
      <c r="T146" s="46"/>
      <c r="U146" s="46"/>
    </row>
    <row r="147" spans="1:21">
      <c r="A147" s="338" t="s">
        <v>15</v>
      </c>
      <c r="B147" s="417">
        <f>B152</f>
        <v>3.8E-3</v>
      </c>
      <c r="C147" s="46"/>
      <c r="D147" s="46"/>
      <c r="E147" s="46"/>
      <c r="F147" s="46"/>
      <c r="G147" s="46"/>
      <c r="H147" s="46"/>
      <c r="I147" s="46"/>
      <c r="J147" s="46"/>
      <c r="K147" s="46"/>
      <c r="L147" s="46"/>
      <c r="M147" s="46"/>
      <c r="N147" s="46"/>
      <c r="O147" s="46"/>
      <c r="P147" s="46"/>
      <c r="Q147" s="46"/>
      <c r="R147" s="46"/>
      <c r="S147" s="46"/>
      <c r="T147" s="46"/>
      <c r="U147" s="46"/>
    </row>
    <row r="148" spans="1:21">
      <c r="A148" s="338" t="s">
        <v>16</v>
      </c>
      <c r="B148" s="46" t="s">
        <v>17</v>
      </c>
      <c r="C148" s="46"/>
      <c r="D148" s="46"/>
      <c r="E148" s="46"/>
      <c r="F148" s="46"/>
      <c r="G148" s="46"/>
      <c r="H148" s="46"/>
      <c r="I148" s="46"/>
      <c r="J148" s="46"/>
      <c r="K148" s="46"/>
      <c r="L148" s="46"/>
      <c r="M148" s="46"/>
      <c r="N148" s="46"/>
      <c r="O148" s="46"/>
      <c r="P148" s="46"/>
      <c r="Q148" s="46"/>
      <c r="R148" s="46"/>
      <c r="S148" s="46"/>
      <c r="T148" s="46"/>
      <c r="U148" s="46"/>
    </row>
    <row r="149" spans="1:21">
      <c r="A149" s="338" t="s">
        <v>18</v>
      </c>
      <c r="B149" s="46" t="s">
        <v>113</v>
      </c>
      <c r="C149" s="46"/>
      <c r="D149" s="46"/>
      <c r="E149" s="46"/>
      <c r="F149" s="46"/>
      <c r="G149" s="46"/>
      <c r="H149" s="46"/>
      <c r="I149" s="46"/>
      <c r="J149" s="46"/>
      <c r="K149" s="46"/>
      <c r="L149" s="46"/>
      <c r="M149" s="46"/>
      <c r="N149" s="46"/>
      <c r="O149" s="46"/>
      <c r="P149" s="46"/>
      <c r="Q149" s="46"/>
      <c r="R149" s="46"/>
      <c r="S149" s="46"/>
      <c r="T149" s="46"/>
      <c r="U149" s="46"/>
    </row>
    <row r="150" spans="1:21">
      <c r="A150" s="335" t="s">
        <v>19</v>
      </c>
      <c r="B150" s="46"/>
      <c r="C150" s="46"/>
      <c r="D150" s="46"/>
      <c r="E150" s="46"/>
      <c r="F150" s="46"/>
      <c r="G150" s="46"/>
      <c r="H150" s="46"/>
      <c r="I150" s="46"/>
      <c r="J150" s="46"/>
      <c r="K150" s="46"/>
      <c r="L150" s="46"/>
      <c r="M150" s="46"/>
      <c r="N150" s="46"/>
      <c r="O150" s="46"/>
      <c r="P150" s="46"/>
      <c r="Q150" s="46"/>
      <c r="R150" s="46"/>
      <c r="S150" s="46"/>
      <c r="T150" s="46"/>
      <c r="U150" s="46"/>
    </row>
    <row r="151" spans="1:21">
      <c r="A151" s="336" t="s">
        <v>20</v>
      </c>
      <c r="B151" s="336" t="s">
        <v>21</v>
      </c>
      <c r="C151" s="336" t="s">
        <v>18</v>
      </c>
      <c r="D151" s="336" t="s">
        <v>22</v>
      </c>
      <c r="E151" s="336" t="s">
        <v>7</v>
      </c>
      <c r="F151" s="336" t="s">
        <v>13</v>
      </c>
      <c r="G151" s="336" t="s">
        <v>16</v>
      </c>
      <c r="H151" s="336" t="s">
        <v>23</v>
      </c>
      <c r="I151" s="336" t="s">
        <v>24</v>
      </c>
      <c r="J151" s="336" t="s">
        <v>25</v>
      </c>
      <c r="K151" s="336" t="s">
        <v>26</v>
      </c>
      <c r="L151" s="336" t="s">
        <v>27</v>
      </c>
      <c r="M151" s="336" t="s">
        <v>28</v>
      </c>
      <c r="N151" s="336" t="s">
        <v>11</v>
      </c>
      <c r="O151" s="46"/>
      <c r="P151" s="46"/>
      <c r="Q151" s="46"/>
      <c r="R151" s="46"/>
      <c r="S151" s="46"/>
      <c r="T151" s="46"/>
      <c r="U151" s="46"/>
    </row>
    <row r="152" spans="1:21">
      <c r="A152" s="62" t="s">
        <v>1027</v>
      </c>
      <c r="B152" s="461">
        <v>3.8E-3</v>
      </c>
      <c r="C152" s="46" t="s">
        <v>113</v>
      </c>
      <c r="D152" s="400" t="s">
        <v>2</v>
      </c>
      <c r="E152" s="46" t="s">
        <v>29</v>
      </c>
      <c r="F152" s="32" t="s">
        <v>14</v>
      </c>
      <c r="G152" s="46" t="s">
        <v>30</v>
      </c>
      <c r="H152" s="46">
        <v>1</v>
      </c>
      <c r="I152" s="407">
        <f t="shared" ref="I152:I154" si="13">B152</f>
        <v>3.8E-3</v>
      </c>
      <c r="J152" s="46" t="s">
        <v>31</v>
      </c>
      <c r="K152" s="46" t="s">
        <v>31</v>
      </c>
      <c r="L152" s="46" t="s">
        <v>31</v>
      </c>
      <c r="M152" s="46" t="s">
        <v>31</v>
      </c>
      <c r="N152" s="46"/>
      <c r="O152" s="463" t="s">
        <v>605</v>
      </c>
      <c r="P152" s="461">
        <v>8.8999999999999996E-2</v>
      </c>
      <c r="Q152" s="46"/>
      <c r="R152" s="46"/>
      <c r="S152" s="46"/>
      <c r="T152" s="46"/>
      <c r="U152" s="46"/>
    </row>
    <row r="153" spans="1:21">
      <c r="A153" s="46" t="s">
        <v>1029</v>
      </c>
      <c r="B153" s="464">
        <v>1.4E-3</v>
      </c>
      <c r="C153" s="46" t="s">
        <v>113</v>
      </c>
      <c r="D153" s="400" t="s">
        <v>2</v>
      </c>
      <c r="E153" s="46" t="s">
        <v>29</v>
      </c>
      <c r="F153" s="32" t="s">
        <v>14</v>
      </c>
      <c r="G153" s="46" t="s">
        <v>33</v>
      </c>
      <c r="H153" s="46">
        <v>1</v>
      </c>
      <c r="I153" s="407">
        <f t="shared" si="13"/>
        <v>1.4E-3</v>
      </c>
      <c r="J153" s="46" t="s">
        <v>31</v>
      </c>
      <c r="K153" s="46" t="s">
        <v>31</v>
      </c>
      <c r="L153" s="46" t="s">
        <v>31</v>
      </c>
      <c r="M153" s="46" t="s">
        <v>31</v>
      </c>
      <c r="N153" s="46"/>
      <c r="O153" s="463" t="s">
        <v>817</v>
      </c>
      <c r="P153" s="464">
        <v>3.6999999999999998E-2</v>
      </c>
      <c r="Q153" s="46"/>
      <c r="R153" s="46"/>
      <c r="S153" s="46"/>
      <c r="T153" s="46"/>
      <c r="U153" s="46"/>
    </row>
    <row r="154" spans="1:21">
      <c r="A154" s="46" t="s">
        <v>1030</v>
      </c>
      <c r="B154" s="461">
        <v>3.8E-3</v>
      </c>
      <c r="C154" s="46" t="s">
        <v>113</v>
      </c>
      <c r="D154" s="400" t="s">
        <v>2</v>
      </c>
      <c r="E154" s="46" t="s">
        <v>29</v>
      </c>
      <c r="F154" s="32" t="s">
        <v>14</v>
      </c>
      <c r="G154" s="46" t="s">
        <v>33</v>
      </c>
      <c r="H154" s="46">
        <v>1</v>
      </c>
      <c r="I154" s="407">
        <f t="shared" si="13"/>
        <v>3.8E-3</v>
      </c>
      <c r="J154" s="46" t="s">
        <v>31</v>
      </c>
      <c r="K154" s="46" t="s">
        <v>31</v>
      </c>
      <c r="L154" s="46" t="s">
        <v>31</v>
      </c>
      <c r="M154" s="46" t="s">
        <v>31</v>
      </c>
      <c r="N154" s="46"/>
      <c r="O154" s="392" t="s">
        <v>817</v>
      </c>
      <c r="P154" s="461">
        <v>8.8999999999999996E-2</v>
      </c>
      <c r="Q154" s="46"/>
      <c r="R154" s="46"/>
      <c r="S154" s="46"/>
      <c r="T154" s="46"/>
      <c r="U154" s="46"/>
    </row>
    <row r="155" spans="1:21">
      <c r="A155" s="338" t="s">
        <v>75</v>
      </c>
      <c r="B155" s="437">
        <f t="shared" ref="B155:B156" si="14">P155</f>
        <v>0.09</v>
      </c>
      <c r="C155" s="46" t="s">
        <v>39</v>
      </c>
      <c r="D155" s="46" t="s">
        <v>40</v>
      </c>
      <c r="E155" s="46" t="s">
        <v>29</v>
      </c>
      <c r="F155" s="32" t="s">
        <v>35</v>
      </c>
      <c r="G155" s="46" t="s">
        <v>33</v>
      </c>
      <c r="H155" s="46">
        <v>2</v>
      </c>
      <c r="I155" s="46">
        <f t="shared" ref="I155:I156" si="15">LN(B155)</f>
        <v>-2.4079456086518722</v>
      </c>
      <c r="J155" s="46">
        <v>9.7082439194738052E-2</v>
      </c>
      <c r="K155" s="46" t="s">
        <v>31</v>
      </c>
      <c r="L155" s="46" t="s">
        <v>31</v>
      </c>
      <c r="M155" s="46" t="s">
        <v>31</v>
      </c>
      <c r="N155" s="46"/>
      <c r="O155" s="393" t="s">
        <v>216</v>
      </c>
      <c r="P155" s="406">
        <v>0.09</v>
      </c>
      <c r="Q155" s="46" t="s">
        <v>216</v>
      </c>
      <c r="R155" s="342">
        <f>P155</f>
        <v>0.09</v>
      </c>
      <c r="S155" s="46"/>
      <c r="T155" s="46"/>
      <c r="U155" s="46"/>
    </row>
    <row r="156" spans="1:21">
      <c r="A156" s="338" t="s">
        <v>480</v>
      </c>
      <c r="B156" s="437">
        <f t="shared" si="14"/>
        <v>0.2</v>
      </c>
      <c r="C156" s="46" t="s">
        <v>37</v>
      </c>
      <c r="D156" s="46" t="s">
        <v>40</v>
      </c>
      <c r="E156" s="46" t="s">
        <v>29</v>
      </c>
      <c r="F156" s="32" t="s">
        <v>35</v>
      </c>
      <c r="G156" s="46" t="s">
        <v>33</v>
      </c>
      <c r="H156" s="46">
        <v>2</v>
      </c>
      <c r="I156" s="46">
        <f t="shared" si="15"/>
        <v>-1.6094379124341003</v>
      </c>
      <c r="J156" s="46">
        <v>9.7082439194738052E-2</v>
      </c>
      <c r="K156" s="46" t="s">
        <v>31</v>
      </c>
      <c r="L156" s="46" t="s">
        <v>31</v>
      </c>
      <c r="M156" s="46" t="s">
        <v>31</v>
      </c>
      <c r="N156" s="46"/>
      <c r="O156" s="393" t="s">
        <v>221</v>
      </c>
      <c r="P156" s="406">
        <v>0.2</v>
      </c>
      <c r="Q156" s="46"/>
      <c r="R156" s="46"/>
      <c r="S156" s="46"/>
      <c r="T156" s="46"/>
      <c r="U156" s="46"/>
    </row>
    <row r="157" spans="1:21" s="41" customFormat="1">
      <c r="A157" s="362" t="s">
        <v>5</v>
      </c>
      <c r="B157" s="363" t="s">
        <v>1030</v>
      </c>
      <c r="C157" s="364"/>
      <c r="D157" s="345"/>
      <c r="E157" s="345"/>
      <c r="F157" s="345"/>
      <c r="G157" s="345"/>
      <c r="H157" s="345"/>
      <c r="I157" s="345"/>
      <c r="J157" s="345"/>
      <c r="K157" s="345"/>
      <c r="L157" s="345"/>
      <c r="M157" s="345"/>
      <c r="N157" s="345"/>
      <c r="O157" s="345"/>
      <c r="P157" s="345"/>
      <c r="Q157" s="345"/>
      <c r="R157" s="345"/>
      <c r="S157" s="345"/>
      <c r="T157" s="345"/>
      <c r="U157" s="345"/>
    </row>
    <row r="158" spans="1:21">
      <c r="A158" s="338" t="s">
        <v>7</v>
      </c>
      <c r="B158" s="46" t="s">
        <v>779</v>
      </c>
      <c r="C158" s="337"/>
      <c r="D158" s="46"/>
      <c r="E158" s="46"/>
      <c r="F158" s="46"/>
      <c r="G158" s="46"/>
      <c r="H158" s="46"/>
      <c r="I158" s="46"/>
      <c r="J158" s="46"/>
      <c r="K158" s="46"/>
      <c r="L158" s="46"/>
      <c r="M158" s="46"/>
      <c r="N158" s="46"/>
      <c r="O158" s="46"/>
      <c r="P158" s="46"/>
      <c r="Q158" s="46"/>
      <c r="R158" s="46"/>
      <c r="S158" s="46"/>
      <c r="T158" s="46"/>
      <c r="U158" s="46"/>
    </row>
    <row r="159" spans="1:21">
      <c r="A159" s="416" t="s">
        <v>9</v>
      </c>
      <c r="B159" s="46" t="s">
        <v>1031</v>
      </c>
      <c r="C159" s="337"/>
      <c r="D159" s="46"/>
      <c r="E159" s="46"/>
      <c r="F159" s="46"/>
      <c r="G159" s="46"/>
      <c r="H159" s="46"/>
      <c r="I159" s="46"/>
      <c r="J159" s="46"/>
      <c r="K159" s="46"/>
      <c r="L159" s="46"/>
      <c r="M159" s="46"/>
      <c r="N159" s="46"/>
      <c r="O159" s="46"/>
      <c r="P159" s="46"/>
      <c r="Q159" s="46"/>
      <c r="R159" s="46"/>
      <c r="S159" s="46"/>
      <c r="T159" s="46"/>
      <c r="U159" s="46"/>
    </row>
    <row r="160" spans="1:21" ht="15.75" customHeight="1">
      <c r="A160" s="338" t="s">
        <v>11</v>
      </c>
      <c r="B160" s="339" t="s">
        <v>789</v>
      </c>
      <c r="C160" s="46"/>
      <c r="D160" s="46"/>
      <c r="E160" s="46"/>
      <c r="F160" s="46"/>
      <c r="G160" s="46"/>
      <c r="H160" s="46"/>
      <c r="I160" s="46"/>
      <c r="J160" s="46"/>
      <c r="K160" s="46"/>
      <c r="L160" s="46"/>
      <c r="M160" s="46"/>
      <c r="N160" s="46"/>
      <c r="O160" s="46"/>
      <c r="P160" s="46"/>
      <c r="Q160" s="46"/>
      <c r="R160" s="46"/>
      <c r="S160" s="46"/>
      <c r="T160" s="46"/>
      <c r="U160" s="46"/>
    </row>
    <row r="161" spans="1:21">
      <c r="A161" s="338" t="s">
        <v>13</v>
      </c>
      <c r="B161" s="46" t="s">
        <v>14</v>
      </c>
      <c r="C161" s="46"/>
      <c r="D161" s="46"/>
      <c r="E161" s="46"/>
      <c r="F161" s="46"/>
      <c r="G161" s="46"/>
      <c r="H161" s="46"/>
      <c r="I161" s="46"/>
      <c r="J161" s="46"/>
      <c r="K161" s="46"/>
      <c r="L161" s="46"/>
      <c r="M161" s="46"/>
      <c r="N161" s="46"/>
      <c r="O161" s="46"/>
      <c r="P161" s="46"/>
      <c r="Q161" s="46"/>
      <c r="R161" s="46"/>
      <c r="S161" s="46"/>
      <c r="T161" s="46"/>
      <c r="U161" s="46"/>
    </row>
    <row r="162" spans="1:21">
      <c r="A162" s="338" t="s">
        <v>15</v>
      </c>
      <c r="B162" s="437">
        <f>B167</f>
        <v>1.4E-3</v>
      </c>
      <c r="C162" s="46"/>
      <c r="D162" s="46"/>
      <c r="E162" s="46"/>
      <c r="F162" s="46"/>
      <c r="G162" s="46"/>
      <c r="H162" s="46"/>
      <c r="I162" s="46"/>
      <c r="J162" s="46"/>
      <c r="K162" s="46"/>
      <c r="L162" s="46"/>
      <c r="M162" s="46"/>
      <c r="N162" s="46"/>
      <c r="O162" s="46"/>
      <c r="P162" s="46"/>
      <c r="Q162" s="46"/>
      <c r="R162" s="46"/>
      <c r="S162" s="46"/>
      <c r="T162" s="46"/>
      <c r="U162" s="46"/>
    </row>
    <row r="163" spans="1:21">
      <c r="A163" s="338" t="s">
        <v>16</v>
      </c>
      <c r="B163" s="46" t="s">
        <v>17</v>
      </c>
      <c r="C163" s="46"/>
      <c r="D163" s="46"/>
      <c r="E163" s="46"/>
      <c r="F163" s="46"/>
      <c r="G163" s="46"/>
      <c r="H163" s="46"/>
      <c r="I163" s="46"/>
      <c r="J163" s="46"/>
      <c r="K163" s="46"/>
      <c r="L163" s="46"/>
      <c r="M163" s="46"/>
      <c r="N163" s="46"/>
      <c r="O163" s="46"/>
      <c r="P163" s="46"/>
      <c r="Q163" s="46"/>
      <c r="R163" s="46"/>
      <c r="S163" s="46"/>
      <c r="T163" s="46"/>
      <c r="U163" s="46"/>
    </row>
    <row r="164" spans="1:21">
      <c r="A164" s="338" t="s">
        <v>18</v>
      </c>
      <c r="B164" s="46" t="s">
        <v>113</v>
      </c>
      <c r="C164" s="46"/>
      <c r="D164" s="46"/>
      <c r="E164" s="46"/>
      <c r="F164" s="46"/>
      <c r="G164" s="46"/>
      <c r="H164" s="46"/>
      <c r="I164" s="46"/>
      <c r="J164" s="46"/>
      <c r="K164" s="46"/>
      <c r="L164" s="46"/>
      <c r="M164" s="46"/>
      <c r="N164" s="46"/>
      <c r="O164" s="46"/>
      <c r="P164" s="46"/>
      <c r="Q164" s="46"/>
      <c r="R164" s="46"/>
      <c r="S164" s="46"/>
      <c r="T164" s="46"/>
      <c r="U164" s="46"/>
    </row>
    <row r="165" spans="1:21">
      <c r="A165" s="335" t="s">
        <v>19</v>
      </c>
      <c r="B165" s="46"/>
      <c r="C165" s="46"/>
      <c r="D165" s="46"/>
      <c r="E165" s="46"/>
      <c r="F165" s="46"/>
      <c r="G165" s="46"/>
      <c r="H165" s="46"/>
      <c r="I165" s="46"/>
      <c r="J165" s="46"/>
      <c r="K165" s="46"/>
      <c r="L165" s="46"/>
      <c r="M165" s="46"/>
      <c r="N165" s="46"/>
      <c r="O165" s="46"/>
      <c r="P165" s="46"/>
      <c r="Q165" s="46"/>
      <c r="R165" s="46"/>
      <c r="S165" s="46"/>
      <c r="T165" s="46"/>
      <c r="U165" s="46"/>
    </row>
    <row r="166" spans="1:21">
      <c r="A166" s="336" t="s">
        <v>20</v>
      </c>
      <c r="B166" s="336" t="s">
        <v>21</v>
      </c>
      <c r="C166" s="336" t="s">
        <v>18</v>
      </c>
      <c r="D166" s="336" t="s">
        <v>22</v>
      </c>
      <c r="E166" s="336" t="s">
        <v>7</v>
      </c>
      <c r="F166" s="336" t="s">
        <v>13</v>
      </c>
      <c r="G166" s="336" t="s">
        <v>16</v>
      </c>
      <c r="H166" s="336" t="s">
        <v>23</v>
      </c>
      <c r="I166" s="336" t="s">
        <v>24</v>
      </c>
      <c r="J166" s="336" t="s">
        <v>25</v>
      </c>
      <c r="K166" s="336" t="s">
        <v>26</v>
      </c>
      <c r="L166" s="336" t="s">
        <v>27</v>
      </c>
      <c r="M166" s="336" t="s">
        <v>28</v>
      </c>
      <c r="N166" s="336" t="s">
        <v>11</v>
      </c>
      <c r="O166" s="46"/>
      <c r="P166" s="46"/>
      <c r="Q166" s="46"/>
      <c r="R166" s="46"/>
      <c r="S166" s="46"/>
      <c r="T166" s="46"/>
      <c r="U166" s="46"/>
    </row>
    <row r="167" spans="1:21">
      <c r="A167" s="46" t="s">
        <v>1030</v>
      </c>
      <c r="B167" s="462">
        <v>1.4E-3</v>
      </c>
      <c r="C167" s="46" t="s">
        <v>113</v>
      </c>
      <c r="D167" s="400" t="s">
        <v>2</v>
      </c>
      <c r="E167" s="46" t="s">
        <v>29</v>
      </c>
      <c r="F167" s="32" t="s">
        <v>14</v>
      </c>
      <c r="G167" s="46" t="s">
        <v>30</v>
      </c>
      <c r="H167" s="46">
        <v>1</v>
      </c>
      <c r="I167" s="407">
        <f t="shared" ref="I167:I168" si="16">B167</f>
        <v>1.4E-3</v>
      </c>
      <c r="J167" s="46" t="s">
        <v>31</v>
      </c>
      <c r="K167" s="46" t="s">
        <v>31</v>
      </c>
      <c r="L167" s="46" t="s">
        <v>31</v>
      </c>
      <c r="M167" s="46" t="s">
        <v>31</v>
      </c>
      <c r="N167" s="46"/>
      <c r="O167" s="46"/>
      <c r="P167" s="446">
        <v>8.8999999999999996E-2</v>
      </c>
      <c r="Q167" s="46"/>
      <c r="R167" s="46"/>
      <c r="S167" s="46"/>
      <c r="T167" s="46"/>
      <c r="U167" s="46"/>
    </row>
    <row r="168" spans="1:21">
      <c r="A168" s="62" t="s">
        <v>1032</v>
      </c>
      <c r="B168" s="462">
        <v>1.4E-3</v>
      </c>
      <c r="C168" s="46" t="s">
        <v>113</v>
      </c>
      <c r="D168" s="400" t="s">
        <v>2</v>
      </c>
      <c r="E168" s="46" t="s">
        <v>29</v>
      </c>
      <c r="F168" s="32" t="s">
        <v>14</v>
      </c>
      <c r="G168" s="46" t="s">
        <v>33</v>
      </c>
      <c r="H168" s="46">
        <v>1</v>
      </c>
      <c r="I168" s="407">
        <f t="shared" si="16"/>
        <v>1.4E-3</v>
      </c>
      <c r="J168" s="46" t="s">
        <v>31</v>
      </c>
      <c r="K168" s="46" t="s">
        <v>31</v>
      </c>
      <c r="L168" s="46" t="s">
        <v>31</v>
      </c>
      <c r="M168" s="46" t="s">
        <v>31</v>
      </c>
      <c r="N168" s="46"/>
      <c r="O168" s="46"/>
      <c r="P168" s="446">
        <v>8.8999999999999996E-2</v>
      </c>
      <c r="Q168" s="46"/>
      <c r="R168" s="46"/>
      <c r="S168" s="46"/>
      <c r="T168" s="46"/>
      <c r="U168" s="46"/>
    </row>
    <row r="169" spans="1:21">
      <c r="A169" s="338" t="s">
        <v>75</v>
      </c>
      <c r="B169" s="342">
        <f>R169</f>
        <v>0.01</v>
      </c>
      <c r="C169" s="46" t="s">
        <v>39</v>
      </c>
      <c r="D169" s="46" t="s">
        <v>40</v>
      </c>
      <c r="E169" s="46" t="s">
        <v>29</v>
      </c>
      <c r="F169" s="32" t="s">
        <v>35</v>
      </c>
      <c r="G169" s="46" t="s">
        <v>33</v>
      </c>
      <c r="H169" s="46">
        <v>2</v>
      </c>
      <c r="I169" s="46">
        <f t="shared" ref="I169:I173" si="17">LN(B169)</f>
        <v>-4.6051701859880909</v>
      </c>
      <c r="J169" s="46">
        <v>0.20928449536456342</v>
      </c>
      <c r="K169" s="46" t="s">
        <v>31</v>
      </c>
      <c r="L169" s="46" t="s">
        <v>31</v>
      </c>
      <c r="M169" s="46" t="s">
        <v>31</v>
      </c>
      <c r="N169" s="46"/>
      <c r="O169" s="375" t="s">
        <v>216</v>
      </c>
      <c r="P169" s="406">
        <v>0.01</v>
      </c>
      <c r="Q169" s="46" t="s">
        <v>216</v>
      </c>
      <c r="R169" s="342">
        <f>P169</f>
        <v>0.01</v>
      </c>
      <c r="S169" s="46"/>
      <c r="T169" s="46"/>
      <c r="U169" s="46"/>
    </row>
    <row r="170" spans="1:21">
      <c r="A170" s="47" t="s">
        <v>791</v>
      </c>
      <c r="B170" s="46">
        <f>R170</f>
        <v>2.9999999999999997E-4</v>
      </c>
      <c r="C170" s="46" t="s">
        <v>37</v>
      </c>
      <c r="D170" s="46" t="s">
        <v>40</v>
      </c>
      <c r="E170" s="46" t="s">
        <v>29</v>
      </c>
      <c r="F170" s="32" t="s">
        <v>35</v>
      </c>
      <c r="G170" s="46" t="s">
        <v>33</v>
      </c>
      <c r="H170" s="46">
        <v>2</v>
      </c>
      <c r="I170" s="46">
        <f t="shared" si="17"/>
        <v>-8.1117280833080727</v>
      </c>
      <c r="J170" s="46">
        <v>0.20928449536456342</v>
      </c>
      <c r="K170" s="46" t="s">
        <v>31</v>
      </c>
      <c r="L170" s="46" t="s">
        <v>31</v>
      </c>
      <c r="M170" s="46" t="s">
        <v>31</v>
      </c>
      <c r="N170" s="46"/>
      <c r="O170" s="393" t="s">
        <v>575</v>
      </c>
      <c r="P170" s="406">
        <v>0.3</v>
      </c>
      <c r="Q170" s="46" t="s">
        <v>221</v>
      </c>
      <c r="R170" s="46">
        <f>0.001*P170</f>
        <v>2.9999999999999997E-4</v>
      </c>
      <c r="S170" s="46"/>
      <c r="T170" s="46"/>
      <c r="U170" s="46"/>
    </row>
    <row r="171" spans="1:21">
      <c r="A171" s="47" t="s">
        <v>546</v>
      </c>
      <c r="B171" s="46">
        <f>R171</f>
        <v>1E-4</v>
      </c>
      <c r="C171" s="46" t="s">
        <v>37</v>
      </c>
      <c r="D171" s="46" t="s">
        <v>40</v>
      </c>
      <c r="E171" s="46" t="s">
        <v>29</v>
      </c>
      <c r="F171" s="32" t="s">
        <v>58</v>
      </c>
      <c r="G171" s="46" t="s">
        <v>33</v>
      </c>
      <c r="H171" s="46">
        <v>2</v>
      </c>
      <c r="I171" s="46">
        <f t="shared" si="17"/>
        <v>-9.2103403719761818</v>
      </c>
      <c r="J171" s="46">
        <v>0.20928449536456342</v>
      </c>
      <c r="K171" s="46" t="s">
        <v>31</v>
      </c>
      <c r="L171" s="46" t="s">
        <v>31</v>
      </c>
      <c r="M171" s="46" t="s">
        <v>31</v>
      </c>
      <c r="N171" s="46"/>
      <c r="O171" s="393" t="s">
        <v>575</v>
      </c>
      <c r="P171" s="406">
        <v>0.1</v>
      </c>
      <c r="Q171" s="46" t="s">
        <v>221</v>
      </c>
      <c r="R171" s="46">
        <f t="shared" ref="R171:R173" si="18">0.001*P171</f>
        <v>1E-4</v>
      </c>
      <c r="S171" s="46"/>
      <c r="T171" s="46"/>
      <c r="U171" s="46"/>
    </row>
    <row r="172" spans="1:21">
      <c r="A172" s="338" t="s">
        <v>792</v>
      </c>
      <c r="B172" s="46">
        <f>R172</f>
        <v>1.6999999999999999E-3</v>
      </c>
      <c r="C172" s="46" t="s">
        <v>37</v>
      </c>
      <c r="D172" s="46" t="s">
        <v>40</v>
      </c>
      <c r="E172" s="46" t="s">
        <v>29</v>
      </c>
      <c r="F172" s="32" t="s">
        <v>741</v>
      </c>
      <c r="G172" s="46" t="s">
        <v>33</v>
      </c>
      <c r="H172" s="46">
        <v>2</v>
      </c>
      <c r="I172" s="46">
        <f t="shared" si="17"/>
        <v>-6.3771270279199666</v>
      </c>
      <c r="J172" s="46">
        <v>0.20928449536456342</v>
      </c>
      <c r="K172" s="46" t="s">
        <v>31</v>
      </c>
      <c r="L172" s="46" t="s">
        <v>31</v>
      </c>
      <c r="M172" s="46" t="s">
        <v>31</v>
      </c>
      <c r="N172" s="46"/>
      <c r="O172" s="393" t="s">
        <v>575</v>
      </c>
      <c r="P172" s="406">
        <v>1.7</v>
      </c>
      <c r="Q172" s="46" t="s">
        <v>221</v>
      </c>
      <c r="R172" s="46">
        <f t="shared" si="18"/>
        <v>1.6999999999999999E-3</v>
      </c>
      <c r="S172" s="46"/>
      <c r="T172" s="46"/>
      <c r="U172" s="46"/>
    </row>
    <row r="173" spans="1:21">
      <c r="A173" s="46" t="s">
        <v>777</v>
      </c>
      <c r="B173" s="46">
        <f>R173</f>
        <v>4.0000000000000002E-4</v>
      </c>
      <c r="C173" s="46" t="s">
        <v>37</v>
      </c>
      <c r="D173" s="400" t="s">
        <v>2</v>
      </c>
      <c r="E173" s="46" t="s">
        <v>29</v>
      </c>
      <c r="F173" s="32" t="s">
        <v>741</v>
      </c>
      <c r="G173" s="46" t="s">
        <v>33</v>
      </c>
      <c r="H173" s="46">
        <v>2</v>
      </c>
      <c r="I173" s="46">
        <f t="shared" si="17"/>
        <v>-7.8240460108562919</v>
      </c>
      <c r="J173" s="46">
        <v>0.20928449536456342</v>
      </c>
      <c r="K173" s="46" t="s">
        <v>31</v>
      </c>
      <c r="L173" s="46" t="s">
        <v>31</v>
      </c>
      <c r="M173" s="46" t="s">
        <v>31</v>
      </c>
      <c r="N173" s="46"/>
      <c r="O173" s="439" t="s">
        <v>575</v>
      </c>
      <c r="P173" s="411">
        <v>0.4</v>
      </c>
      <c r="Q173" s="46" t="s">
        <v>221</v>
      </c>
      <c r="R173" s="46">
        <f t="shared" si="18"/>
        <v>4.0000000000000002E-4</v>
      </c>
      <c r="S173" s="46"/>
      <c r="T173" s="46"/>
      <c r="U173" s="46"/>
    </row>
    <row r="174" spans="1:21" s="41" customFormat="1">
      <c r="A174" s="362" t="s">
        <v>5</v>
      </c>
      <c r="B174" s="363" t="s">
        <v>1032</v>
      </c>
      <c r="C174" s="364"/>
      <c r="D174" s="345"/>
      <c r="E174" s="345"/>
      <c r="F174" s="345"/>
      <c r="G174" s="345"/>
      <c r="H174" s="345"/>
      <c r="I174" s="345"/>
      <c r="J174" s="345"/>
      <c r="K174" s="345"/>
      <c r="L174" s="345"/>
      <c r="M174" s="345"/>
      <c r="N174" s="345"/>
      <c r="O174" s="345"/>
      <c r="P174" s="345"/>
      <c r="Q174" s="345"/>
      <c r="R174" s="345"/>
      <c r="S174" s="345"/>
      <c r="T174" s="345"/>
      <c r="U174" s="345"/>
    </row>
    <row r="175" spans="1:21">
      <c r="A175" s="338" t="s">
        <v>7</v>
      </c>
      <c r="B175" s="46" t="s">
        <v>779</v>
      </c>
      <c r="C175" s="337"/>
      <c r="D175" s="46"/>
      <c r="E175" s="46"/>
      <c r="F175" s="46"/>
      <c r="G175" s="46"/>
      <c r="H175" s="46"/>
      <c r="I175" s="46"/>
      <c r="J175" s="46"/>
      <c r="K175" s="46"/>
      <c r="L175" s="46"/>
      <c r="M175" s="46"/>
      <c r="N175" s="46"/>
      <c r="O175" s="46"/>
      <c r="P175" s="46"/>
      <c r="Q175" s="46"/>
      <c r="R175" s="46"/>
      <c r="S175" s="46"/>
      <c r="T175" s="46"/>
      <c r="U175" s="46"/>
    </row>
    <row r="176" spans="1:21">
      <c r="A176" s="416" t="s">
        <v>9</v>
      </c>
      <c r="B176" s="46" t="s">
        <v>1033</v>
      </c>
      <c r="C176" s="337"/>
      <c r="D176" s="46"/>
      <c r="E176" s="46"/>
      <c r="F176" s="46"/>
      <c r="G176" s="46"/>
      <c r="H176" s="46"/>
      <c r="I176" s="46"/>
      <c r="J176" s="46"/>
      <c r="K176" s="46"/>
      <c r="L176" s="46"/>
      <c r="M176" s="46"/>
      <c r="N176" s="46"/>
      <c r="O176" s="46"/>
      <c r="P176" s="46"/>
      <c r="Q176" s="46"/>
      <c r="R176" s="46"/>
      <c r="S176" s="46"/>
      <c r="T176" s="46"/>
      <c r="U176" s="46"/>
    </row>
    <row r="177" spans="1:21" ht="15.75" customHeight="1">
      <c r="A177" s="338" t="s">
        <v>11</v>
      </c>
      <c r="B177" s="339" t="s">
        <v>789</v>
      </c>
      <c r="C177" s="46"/>
      <c r="D177" s="46"/>
      <c r="E177" s="46"/>
      <c r="F177" s="46"/>
      <c r="G177" s="46"/>
      <c r="H177" s="46"/>
      <c r="I177" s="46"/>
      <c r="J177" s="46"/>
      <c r="K177" s="46"/>
      <c r="L177" s="46"/>
      <c r="M177" s="46"/>
      <c r="N177" s="46"/>
      <c r="O177" s="46"/>
      <c r="P177" s="46"/>
      <c r="Q177" s="46"/>
      <c r="R177" s="46"/>
      <c r="S177" s="46"/>
      <c r="T177" s="46"/>
      <c r="U177" s="46"/>
    </row>
    <row r="178" spans="1:21">
      <c r="A178" s="338" t="s">
        <v>13</v>
      </c>
      <c r="B178" s="46" t="s">
        <v>14</v>
      </c>
      <c r="C178" s="46"/>
      <c r="D178" s="46"/>
      <c r="E178" s="46"/>
      <c r="F178" s="46"/>
      <c r="G178" s="46"/>
      <c r="H178" s="46"/>
      <c r="I178" s="46"/>
      <c r="J178" s="46"/>
      <c r="K178" s="46"/>
      <c r="L178" s="46"/>
      <c r="M178" s="46"/>
      <c r="N178" s="46"/>
      <c r="O178" s="46"/>
      <c r="P178" s="46"/>
      <c r="Q178" s="46"/>
      <c r="R178" s="46"/>
      <c r="S178" s="46"/>
      <c r="T178" s="46"/>
      <c r="U178" s="46"/>
    </row>
    <row r="179" spans="1:21">
      <c r="A179" s="338" t="s">
        <v>15</v>
      </c>
      <c r="B179" s="417">
        <f>B184</f>
        <v>3.8E-3</v>
      </c>
      <c r="C179" s="46"/>
      <c r="D179" s="46"/>
      <c r="E179" s="46"/>
      <c r="F179" s="46"/>
      <c r="G179" s="46"/>
      <c r="H179" s="46"/>
      <c r="I179" s="46"/>
      <c r="J179" s="46"/>
      <c r="K179" s="46"/>
      <c r="L179" s="46"/>
      <c r="M179" s="46"/>
      <c r="N179" s="46"/>
      <c r="O179" s="46"/>
      <c r="P179" s="46"/>
      <c r="Q179" s="46"/>
      <c r="R179" s="46"/>
      <c r="S179" s="46"/>
      <c r="T179" s="46"/>
      <c r="U179" s="46"/>
    </row>
    <row r="180" spans="1:21">
      <c r="A180" s="338" t="s">
        <v>16</v>
      </c>
      <c r="B180" s="46" t="s">
        <v>17</v>
      </c>
      <c r="C180" s="46"/>
      <c r="D180" s="46"/>
      <c r="E180" s="46"/>
      <c r="F180" s="46"/>
      <c r="G180" s="46"/>
      <c r="H180" s="46"/>
      <c r="I180" s="46"/>
      <c r="J180" s="46"/>
      <c r="K180" s="46"/>
      <c r="L180" s="46"/>
      <c r="M180" s="46"/>
      <c r="N180" s="46"/>
      <c r="O180" s="46"/>
      <c r="P180" s="46"/>
      <c r="Q180" s="46"/>
      <c r="R180" s="46"/>
      <c r="S180" s="46"/>
      <c r="T180" s="46"/>
      <c r="U180" s="46"/>
    </row>
    <row r="181" spans="1:21">
      <c r="A181" s="338" t="s">
        <v>18</v>
      </c>
      <c r="B181" s="46" t="s">
        <v>113</v>
      </c>
      <c r="C181" s="46"/>
      <c r="D181" s="46"/>
      <c r="E181" s="46"/>
      <c r="F181" s="46"/>
      <c r="G181" s="46"/>
      <c r="H181" s="46"/>
      <c r="I181" s="46"/>
      <c r="J181" s="46"/>
      <c r="K181" s="46"/>
      <c r="L181" s="46"/>
      <c r="M181" s="46"/>
      <c r="N181" s="46"/>
      <c r="O181" s="46"/>
      <c r="P181" s="46"/>
      <c r="Q181" s="46"/>
      <c r="R181" s="46"/>
      <c r="S181" s="46"/>
      <c r="T181" s="46"/>
      <c r="U181" s="46"/>
    </row>
    <row r="182" spans="1:21">
      <c r="A182" s="335" t="s">
        <v>19</v>
      </c>
      <c r="B182" s="46"/>
      <c r="C182" s="46"/>
      <c r="D182" s="46"/>
      <c r="E182" s="46"/>
      <c r="F182" s="46"/>
      <c r="G182" s="46"/>
      <c r="H182" s="46"/>
      <c r="I182" s="46"/>
      <c r="J182" s="46"/>
      <c r="K182" s="46"/>
      <c r="L182" s="46"/>
      <c r="M182" s="46"/>
      <c r="N182" s="46"/>
      <c r="O182" s="46"/>
      <c r="P182" s="46"/>
      <c r="Q182" s="46"/>
      <c r="R182" s="46"/>
      <c r="S182" s="46"/>
      <c r="T182" s="46"/>
      <c r="U182" s="46"/>
    </row>
    <row r="183" spans="1:21">
      <c r="A183" s="336" t="s">
        <v>20</v>
      </c>
      <c r="B183" s="336" t="s">
        <v>21</v>
      </c>
      <c r="C183" s="336" t="s">
        <v>18</v>
      </c>
      <c r="D183" s="336" t="s">
        <v>22</v>
      </c>
      <c r="E183" s="336" t="s">
        <v>7</v>
      </c>
      <c r="F183" s="336" t="s">
        <v>13</v>
      </c>
      <c r="G183" s="336" t="s">
        <v>16</v>
      </c>
      <c r="H183" s="336" t="s">
        <v>23</v>
      </c>
      <c r="I183" s="336" t="s">
        <v>24</v>
      </c>
      <c r="J183" s="336" t="s">
        <v>25</v>
      </c>
      <c r="K183" s="336" t="s">
        <v>26</v>
      </c>
      <c r="L183" s="336" t="s">
        <v>27</v>
      </c>
      <c r="M183" s="336" t="s">
        <v>28</v>
      </c>
      <c r="N183" s="336" t="s">
        <v>11</v>
      </c>
      <c r="O183" s="46"/>
      <c r="P183" s="46"/>
      <c r="Q183" s="46"/>
      <c r="R183" s="46"/>
      <c r="S183" s="46"/>
      <c r="T183" s="46"/>
      <c r="U183" s="46"/>
    </row>
    <row r="184" spans="1:21">
      <c r="A184" s="62" t="s">
        <v>1032</v>
      </c>
      <c r="B184" s="407">
        <v>3.8E-3</v>
      </c>
      <c r="C184" s="46" t="s">
        <v>113</v>
      </c>
      <c r="D184" s="400" t="s">
        <v>2</v>
      </c>
      <c r="E184" s="46" t="s">
        <v>29</v>
      </c>
      <c r="F184" s="32" t="s">
        <v>14</v>
      </c>
      <c r="G184" s="46" t="s">
        <v>30</v>
      </c>
      <c r="H184" s="46">
        <v>1</v>
      </c>
      <c r="I184" s="407">
        <f t="shared" ref="I184:I185" si="19">B184</f>
        <v>3.8E-3</v>
      </c>
      <c r="J184" s="46" t="s">
        <v>31</v>
      </c>
      <c r="K184" s="46" t="s">
        <v>31</v>
      </c>
      <c r="L184" s="46" t="s">
        <v>31</v>
      </c>
      <c r="M184" s="46" t="s">
        <v>31</v>
      </c>
      <c r="N184" s="46"/>
      <c r="O184" s="46"/>
      <c r="P184" s="46"/>
      <c r="Q184" s="46"/>
      <c r="R184" s="46"/>
      <c r="S184" s="46"/>
      <c r="T184" s="46"/>
      <c r="U184" s="46"/>
    </row>
    <row r="185" spans="1:21">
      <c r="A185" s="46" t="s">
        <v>1034</v>
      </c>
      <c r="B185" s="407">
        <v>3.8E-3</v>
      </c>
      <c r="C185" s="46" t="s">
        <v>113</v>
      </c>
      <c r="D185" s="400" t="s">
        <v>2</v>
      </c>
      <c r="E185" s="46" t="s">
        <v>29</v>
      </c>
      <c r="F185" s="32" t="s">
        <v>14</v>
      </c>
      <c r="G185" s="46" t="s">
        <v>33</v>
      </c>
      <c r="H185" s="46">
        <v>1</v>
      </c>
      <c r="I185" s="407">
        <f t="shared" si="19"/>
        <v>3.8E-3</v>
      </c>
      <c r="J185" s="46" t="s">
        <v>31</v>
      </c>
      <c r="K185" s="46" t="s">
        <v>31</v>
      </c>
      <c r="L185" s="46" t="s">
        <v>31</v>
      </c>
      <c r="M185" s="46" t="s">
        <v>31</v>
      </c>
      <c r="N185" s="46"/>
      <c r="O185" s="46"/>
      <c r="P185" s="454"/>
      <c r="Q185" s="46"/>
      <c r="R185" s="46"/>
      <c r="S185" s="46"/>
      <c r="T185" s="46"/>
      <c r="U185" s="46"/>
    </row>
    <row r="186" spans="1:21">
      <c r="A186" s="338" t="s">
        <v>75</v>
      </c>
      <c r="B186" s="342">
        <f>P186</f>
        <v>0.23</v>
      </c>
      <c r="C186" s="46" t="s">
        <v>39</v>
      </c>
      <c r="D186" s="46" t="s">
        <v>40</v>
      </c>
      <c r="E186" s="46" t="s">
        <v>29</v>
      </c>
      <c r="F186" s="32" t="s">
        <v>35</v>
      </c>
      <c r="G186" s="46" t="s">
        <v>33</v>
      </c>
      <c r="H186" s="46">
        <v>2</v>
      </c>
      <c r="I186" s="46">
        <f t="shared" ref="I186:I187" si="20">LN(B186)</f>
        <v>-1.4696759700589417</v>
      </c>
      <c r="J186" s="46">
        <v>0.20928449536456342</v>
      </c>
      <c r="K186" s="46" t="s">
        <v>31</v>
      </c>
      <c r="L186" s="46" t="s">
        <v>31</v>
      </c>
      <c r="M186" s="46" t="s">
        <v>31</v>
      </c>
      <c r="N186" s="46"/>
      <c r="O186" s="393" t="s">
        <v>216</v>
      </c>
      <c r="P186" s="406">
        <f>0.07+0.16</f>
        <v>0.23</v>
      </c>
      <c r="Q186" s="46"/>
      <c r="R186" s="46"/>
      <c r="S186" s="46"/>
      <c r="T186" s="46"/>
      <c r="U186" s="46"/>
    </row>
    <row r="187" spans="1:21">
      <c r="A187" s="338" t="s">
        <v>792</v>
      </c>
      <c r="B187" s="46">
        <f>R187</f>
        <v>5.0000000000000001E-4</v>
      </c>
      <c r="C187" s="46" t="s">
        <v>37</v>
      </c>
      <c r="D187" s="46" t="s">
        <v>40</v>
      </c>
      <c r="E187" s="46" t="s">
        <v>29</v>
      </c>
      <c r="F187" s="32" t="s">
        <v>741</v>
      </c>
      <c r="G187" s="46" t="s">
        <v>33</v>
      </c>
      <c r="H187" s="46">
        <v>2</v>
      </c>
      <c r="I187" s="46">
        <f t="shared" si="20"/>
        <v>-7.6009024595420822</v>
      </c>
      <c r="J187" s="46">
        <v>0.20928449536456342</v>
      </c>
      <c r="K187" s="46" t="s">
        <v>31</v>
      </c>
      <c r="L187" s="46" t="s">
        <v>31</v>
      </c>
      <c r="M187" s="46" t="s">
        <v>31</v>
      </c>
      <c r="N187" s="46"/>
      <c r="O187" s="393" t="s">
        <v>575</v>
      </c>
      <c r="P187" s="406">
        <v>0.5</v>
      </c>
      <c r="Q187" s="46" t="s">
        <v>221</v>
      </c>
      <c r="R187" s="46">
        <f>P187*0.001</f>
        <v>5.0000000000000001E-4</v>
      </c>
      <c r="S187" s="46"/>
      <c r="T187" s="46"/>
      <c r="U187" s="46"/>
    </row>
    <row r="188" spans="1:21">
      <c r="A188" s="47" t="s">
        <v>530</v>
      </c>
      <c r="B188" s="46">
        <f>R188</f>
        <v>5.9999999999999995E-4</v>
      </c>
      <c r="C188" s="46" t="s">
        <v>37</v>
      </c>
      <c r="D188" s="46" t="s">
        <v>40</v>
      </c>
      <c r="E188" s="46" t="s">
        <v>29</v>
      </c>
      <c r="F188" s="46" t="s">
        <v>35</v>
      </c>
      <c r="G188" s="46" t="s">
        <v>33</v>
      </c>
      <c r="H188" s="46">
        <v>2</v>
      </c>
      <c r="I188" s="46">
        <f>LN(B188)</f>
        <v>-7.4185809027481282</v>
      </c>
      <c r="J188" s="46">
        <v>0.20928449536456342</v>
      </c>
      <c r="K188" s="46" t="s">
        <v>31</v>
      </c>
      <c r="L188" s="46" t="s">
        <v>31</v>
      </c>
      <c r="M188" s="46" t="s">
        <v>31</v>
      </c>
      <c r="N188" s="46"/>
      <c r="O188" s="393" t="s">
        <v>575</v>
      </c>
      <c r="P188" s="406">
        <v>0.6</v>
      </c>
      <c r="Q188" s="46" t="s">
        <v>221</v>
      </c>
      <c r="R188" s="46">
        <f>P188*0.001</f>
        <v>5.9999999999999995E-4</v>
      </c>
      <c r="S188" s="46"/>
      <c r="T188" s="46"/>
      <c r="U188" s="46"/>
    </row>
    <row r="189" spans="1:21">
      <c r="A189" s="46" t="s">
        <v>777</v>
      </c>
      <c r="B189" s="46">
        <f>R189</f>
        <v>5.9999999999999995E-4</v>
      </c>
      <c r="C189" s="46" t="s">
        <v>37</v>
      </c>
      <c r="D189" s="400" t="s">
        <v>2</v>
      </c>
      <c r="E189" s="46" t="s">
        <v>29</v>
      </c>
      <c r="F189" s="32" t="s">
        <v>741</v>
      </c>
      <c r="G189" s="46" t="s">
        <v>33</v>
      </c>
      <c r="H189" s="46">
        <v>2</v>
      </c>
      <c r="I189" s="46">
        <f t="shared" ref="I189" si="21">LN(B189)</f>
        <v>-7.4185809027481282</v>
      </c>
      <c r="J189" s="46">
        <v>0.20928449536456342</v>
      </c>
      <c r="K189" s="46" t="s">
        <v>31</v>
      </c>
      <c r="L189" s="46" t="s">
        <v>31</v>
      </c>
      <c r="M189" s="46" t="s">
        <v>31</v>
      </c>
      <c r="N189" s="46"/>
      <c r="O189" s="439" t="s">
        <v>575</v>
      </c>
      <c r="P189" s="411">
        <v>0.6</v>
      </c>
      <c r="Q189" s="46" t="s">
        <v>221</v>
      </c>
      <c r="R189" s="46">
        <f t="shared" ref="R189" si="22">0.001*P189</f>
        <v>5.9999999999999995E-4</v>
      </c>
      <c r="S189" s="46"/>
      <c r="T189" s="46"/>
      <c r="U189" s="46"/>
    </row>
    <row r="190" spans="1:21" s="41" customFormat="1">
      <c r="A190" s="362" t="s">
        <v>5</v>
      </c>
      <c r="B190" s="363" t="s">
        <v>1034</v>
      </c>
      <c r="C190" s="364"/>
      <c r="D190" s="345"/>
      <c r="E190" s="345"/>
      <c r="F190" s="345"/>
      <c r="G190" s="345"/>
      <c r="H190" s="345"/>
      <c r="I190" s="345"/>
      <c r="J190" s="345"/>
      <c r="K190" s="345"/>
      <c r="L190" s="345"/>
      <c r="M190" s="345"/>
      <c r="N190" s="345"/>
      <c r="O190" s="345"/>
      <c r="P190" s="345"/>
      <c r="Q190" s="345"/>
      <c r="R190" s="345"/>
      <c r="S190" s="345"/>
      <c r="T190" s="345"/>
      <c r="U190" s="345"/>
    </row>
    <row r="191" spans="1:21">
      <c r="A191" s="338" t="s">
        <v>7</v>
      </c>
      <c r="B191" s="46" t="s">
        <v>779</v>
      </c>
      <c r="C191" s="337"/>
      <c r="D191" s="46"/>
      <c r="E191" s="46"/>
      <c r="F191" s="46"/>
      <c r="G191" s="46"/>
      <c r="H191" s="46"/>
      <c r="I191" s="46"/>
      <c r="J191" s="46"/>
      <c r="K191" s="46"/>
      <c r="L191" s="46"/>
      <c r="M191" s="46"/>
      <c r="N191" s="46"/>
      <c r="O191" s="46"/>
      <c r="P191" s="46"/>
      <c r="Q191" s="46"/>
      <c r="R191" s="46"/>
      <c r="S191" s="46"/>
      <c r="T191" s="46"/>
      <c r="U191" s="46"/>
    </row>
    <row r="192" spans="1:21">
      <c r="A192" s="416" t="s">
        <v>9</v>
      </c>
      <c r="B192" s="46" t="s">
        <v>1035</v>
      </c>
      <c r="C192" s="337"/>
      <c r="D192" s="46"/>
      <c r="E192" s="46"/>
      <c r="F192" s="46"/>
      <c r="G192" s="46"/>
      <c r="H192" s="46"/>
      <c r="I192" s="46"/>
      <c r="J192" s="46"/>
      <c r="K192" s="46"/>
      <c r="L192" s="46"/>
      <c r="M192" s="46"/>
      <c r="N192" s="46"/>
      <c r="O192" s="46"/>
      <c r="P192" s="46"/>
      <c r="Q192" s="46"/>
      <c r="R192" s="46"/>
      <c r="S192" s="46"/>
      <c r="T192" s="46"/>
      <c r="U192" s="46"/>
    </row>
    <row r="193" spans="1:21" ht="15.75" customHeight="1">
      <c r="A193" s="338" t="s">
        <v>11</v>
      </c>
      <c r="B193" s="339" t="s">
        <v>789</v>
      </c>
      <c r="C193" s="46"/>
      <c r="D193" s="46"/>
      <c r="E193" s="46"/>
      <c r="F193" s="46"/>
      <c r="G193" s="46"/>
      <c r="H193" s="46"/>
      <c r="I193" s="46"/>
      <c r="J193" s="46"/>
      <c r="K193" s="46"/>
      <c r="L193" s="46"/>
      <c r="M193" s="46"/>
      <c r="N193" s="46"/>
      <c r="O193" s="46"/>
      <c r="P193" s="46"/>
      <c r="Q193" s="336" t="s">
        <v>880</v>
      </c>
      <c r="R193" s="46"/>
      <c r="S193" s="46"/>
      <c r="T193" s="46"/>
      <c r="U193" s="46"/>
    </row>
    <row r="194" spans="1:21">
      <c r="A194" s="338" t="s">
        <v>13</v>
      </c>
      <c r="B194" s="46" t="s">
        <v>14</v>
      </c>
      <c r="C194" s="46"/>
      <c r="D194" s="46"/>
      <c r="E194" s="46"/>
      <c r="F194" s="46"/>
      <c r="G194" s="46"/>
      <c r="H194" s="46"/>
      <c r="I194" s="46"/>
      <c r="J194" s="46"/>
      <c r="K194" s="46"/>
      <c r="L194" s="46"/>
      <c r="M194" s="46"/>
      <c r="N194" s="46"/>
      <c r="O194" s="46"/>
      <c r="P194" s="46"/>
      <c r="Q194" s="46" t="s">
        <v>881</v>
      </c>
      <c r="R194" s="46">
        <v>8900</v>
      </c>
      <c r="S194" s="46" t="s">
        <v>882</v>
      </c>
      <c r="T194" s="46"/>
      <c r="U194" s="46"/>
    </row>
    <row r="195" spans="1:21">
      <c r="A195" s="338" t="s">
        <v>15</v>
      </c>
      <c r="B195" s="417">
        <f>B200</f>
        <v>0.05</v>
      </c>
      <c r="C195" s="46"/>
      <c r="D195" s="46"/>
      <c r="E195" s="46"/>
      <c r="F195" s="46"/>
      <c r="G195" s="46"/>
      <c r="H195" s="46"/>
      <c r="I195" s="46"/>
      <c r="J195" s="46"/>
      <c r="K195" s="46"/>
      <c r="L195" s="46"/>
      <c r="M195" s="46"/>
      <c r="N195" s="46"/>
      <c r="O195" s="46"/>
      <c r="P195" s="46"/>
      <c r="Q195" s="46" t="s">
        <v>883</v>
      </c>
      <c r="R195" s="46">
        <f>5*10^-6</f>
        <v>4.9999999999999996E-6</v>
      </c>
      <c r="S195" s="46" t="s">
        <v>884</v>
      </c>
      <c r="T195" s="46"/>
      <c r="U195" s="46"/>
    </row>
    <row r="196" spans="1:21">
      <c r="A196" s="338" t="s">
        <v>16</v>
      </c>
      <c r="B196" s="46" t="s">
        <v>17</v>
      </c>
      <c r="C196" s="46"/>
      <c r="D196" s="46"/>
      <c r="E196" s="46"/>
      <c r="F196" s="46"/>
      <c r="G196" s="46"/>
      <c r="H196" s="46"/>
      <c r="I196" s="46"/>
      <c r="J196" s="46"/>
      <c r="K196" s="46"/>
      <c r="L196" s="46"/>
      <c r="M196" s="46"/>
      <c r="N196" s="46"/>
      <c r="O196" s="46"/>
      <c r="P196" s="46"/>
      <c r="Q196" s="419" t="s">
        <v>885</v>
      </c>
      <c r="R196" s="420">
        <f>R195*R194</f>
        <v>4.4499999999999998E-2</v>
      </c>
      <c r="S196" s="421" t="s">
        <v>886</v>
      </c>
      <c r="T196" s="46"/>
      <c r="U196" s="46"/>
    </row>
    <row r="197" spans="1:21">
      <c r="A197" s="338" t="s">
        <v>18</v>
      </c>
      <c r="B197" s="46" t="s">
        <v>113</v>
      </c>
      <c r="C197" s="46"/>
      <c r="D197" s="46"/>
      <c r="E197" s="46"/>
      <c r="F197" s="46"/>
      <c r="G197" s="46"/>
      <c r="H197" s="46"/>
      <c r="I197" s="46"/>
      <c r="J197" s="46"/>
      <c r="K197" s="46"/>
      <c r="L197" s="46"/>
      <c r="M197" s="46"/>
      <c r="N197" s="46"/>
      <c r="O197" s="46"/>
      <c r="P197" s="46"/>
      <c r="Q197" s="46"/>
      <c r="R197" s="46"/>
      <c r="S197" s="46"/>
      <c r="T197" s="46"/>
      <c r="U197" s="46"/>
    </row>
    <row r="198" spans="1:21">
      <c r="A198" s="335" t="s">
        <v>19</v>
      </c>
      <c r="B198" s="46"/>
      <c r="C198" s="46"/>
      <c r="D198" s="46"/>
      <c r="E198" s="46"/>
      <c r="F198" s="46"/>
      <c r="G198" s="46"/>
      <c r="H198" s="46"/>
      <c r="I198" s="46"/>
      <c r="J198" s="46"/>
      <c r="K198" s="46"/>
      <c r="L198" s="46"/>
      <c r="M198" s="46"/>
      <c r="N198" s="46"/>
      <c r="O198" s="46"/>
      <c r="P198" s="46"/>
      <c r="Q198" s="46" t="s">
        <v>548</v>
      </c>
      <c r="R198" s="46"/>
      <c r="S198" s="46"/>
      <c r="T198" s="402"/>
      <c r="U198" s="46"/>
    </row>
    <row r="199" spans="1:21">
      <c r="A199" s="336" t="s">
        <v>20</v>
      </c>
      <c r="B199" s="336" t="s">
        <v>21</v>
      </c>
      <c r="C199" s="336" t="s">
        <v>18</v>
      </c>
      <c r="D199" s="336" t="s">
        <v>22</v>
      </c>
      <c r="E199" s="336" t="s">
        <v>7</v>
      </c>
      <c r="F199" s="336" t="s">
        <v>13</v>
      </c>
      <c r="G199" s="336" t="s">
        <v>16</v>
      </c>
      <c r="H199" s="336" t="s">
        <v>23</v>
      </c>
      <c r="I199" s="336" t="s">
        <v>24</v>
      </c>
      <c r="J199" s="336" t="s">
        <v>25</v>
      </c>
      <c r="K199" s="336" t="s">
        <v>26</v>
      </c>
      <c r="L199" s="336" t="s">
        <v>27</v>
      </c>
      <c r="M199" s="336" t="s">
        <v>28</v>
      </c>
      <c r="N199" s="336" t="s">
        <v>11</v>
      </c>
      <c r="O199" s="46"/>
      <c r="P199" s="46"/>
      <c r="Q199" s="422">
        <v>0.1</v>
      </c>
      <c r="R199" s="423" t="s">
        <v>605</v>
      </c>
      <c r="S199" s="422">
        <f>Q199*R196</f>
        <v>4.45E-3</v>
      </c>
      <c r="T199" s="423" t="s">
        <v>221</v>
      </c>
      <c r="U199" s="46"/>
    </row>
    <row r="200" spans="1:21">
      <c r="A200" s="46" t="s">
        <v>1034</v>
      </c>
      <c r="B200" s="465">
        <v>0.05</v>
      </c>
      <c r="C200" s="46" t="s">
        <v>113</v>
      </c>
      <c r="D200" s="400" t="s">
        <v>2</v>
      </c>
      <c r="E200" s="46" t="s">
        <v>29</v>
      </c>
      <c r="F200" s="46" t="s">
        <v>14</v>
      </c>
      <c r="G200" s="46" t="s">
        <v>30</v>
      </c>
      <c r="H200" s="46">
        <v>1</v>
      </c>
      <c r="I200" s="407">
        <f t="shared" ref="I200:I202" si="23">B200</f>
        <v>0.05</v>
      </c>
      <c r="J200" s="46" t="s">
        <v>31</v>
      </c>
      <c r="K200" s="46" t="s">
        <v>31</v>
      </c>
      <c r="L200" s="46" t="s">
        <v>31</v>
      </c>
      <c r="M200" s="46" t="s">
        <v>31</v>
      </c>
      <c r="N200" s="46"/>
      <c r="O200" s="441" t="s">
        <v>887</v>
      </c>
      <c r="P200" s="442">
        <f>B200*100</f>
        <v>5</v>
      </c>
      <c r="Q200" s="46"/>
      <c r="R200" s="46"/>
      <c r="S200" s="46"/>
      <c r="T200" s="46"/>
      <c r="U200" s="46"/>
    </row>
    <row r="201" spans="1:21">
      <c r="A201" s="46" t="s">
        <v>1036</v>
      </c>
      <c r="B201" s="465">
        <v>0.05</v>
      </c>
      <c r="C201" s="46" t="s">
        <v>113</v>
      </c>
      <c r="D201" s="400" t="s">
        <v>2</v>
      </c>
      <c r="E201" s="46" t="s">
        <v>29</v>
      </c>
      <c r="F201" s="46" t="s">
        <v>14</v>
      </c>
      <c r="G201" s="46" t="s">
        <v>33</v>
      </c>
      <c r="H201" s="46">
        <v>1</v>
      </c>
      <c r="I201" s="407">
        <f t="shared" si="23"/>
        <v>0.05</v>
      </c>
      <c r="J201" s="46">
        <v>7.2284161474004766E-2</v>
      </c>
      <c r="K201" s="46" t="s">
        <v>31</v>
      </c>
      <c r="L201" s="46" t="s">
        <v>31</v>
      </c>
      <c r="M201" s="46" t="s">
        <v>31</v>
      </c>
      <c r="N201" s="46"/>
      <c r="O201" s="393" t="s">
        <v>887</v>
      </c>
      <c r="P201" s="406">
        <f>B201*100</f>
        <v>5</v>
      </c>
      <c r="Q201" s="46"/>
      <c r="R201" s="46"/>
      <c r="S201" s="46"/>
      <c r="T201" s="46"/>
      <c r="U201" s="46"/>
    </row>
    <row r="202" spans="1:21">
      <c r="A202" s="62" t="s">
        <v>990</v>
      </c>
      <c r="B202" s="412">
        <f>S199</f>
        <v>4.45E-3</v>
      </c>
      <c r="C202" s="46" t="s">
        <v>37</v>
      </c>
      <c r="D202" s="400" t="s">
        <v>2</v>
      </c>
      <c r="E202" s="46" t="s">
        <v>29</v>
      </c>
      <c r="F202" s="32" t="s">
        <v>14</v>
      </c>
      <c r="G202" s="46" t="s">
        <v>33</v>
      </c>
      <c r="H202" s="46">
        <v>1</v>
      </c>
      <c r="I202" s="407">
        <f t="shared" si="23"/>
        <v>4.45E-3</v>
      </c>
      <c r="J202" s="46">
        <v>7.2284161474004766E-2</v>
      </c>
      <c r="K202" s="46" t="s">
        <v>31</v>
      </c>
      <c r="L202" s="46" t="s">
        <v>31</v>
      </c>
      <c r="M202" s="46" t="s">
        <v>31</v>
      </c>
      <c r="N202" s="46"/>
      <c r="O202" s="62"/>
      <c r="P202" s="413"/>
      <c r="Q202" s="46"/>
      <c r="R202" s="46"/>
      <c r="S202" s="46"/>
      <c r="T202" s="46"/>
      <c r="U202" s="46"/>
    </row>
    <row r="203" spans="1:21">
      <c r="A203" s="338" t="s">
        <v>792</v>
      </c>
      <c r="B203" s="46">
        <v>0.8</v>
      </c>
      <c r="C203" s="46" t="s">
        <v>37</v>
      </c>
      <c r="D203" s="46" t="s">
        <v>40</v>
      </c>
      <c r="E203" s="46" t="s">
        <v>29</v>
      </c>
      <c r="F203" s="32" t="s">
        <v>741</v>
      </c>
      <c r="G203" s="46" t="s">
        <v>33</v>
      </c>
      <c r="H203" s="46">
        <v>2</v>
      </c>
      <c r="I203" s="46">
        <f t="shared" ref="I203:I204" si="24">LN(B203)</f>
        <v>-0.22314355131420971</v>
      </c>
      <c r="J203" s="46">
        <v>7.2284161474004766E-2</v>
      </c>
      <c r="K203" s="46" t="s">
        <v>31</v>
      </c>
      <c r="L203" s="46" t="s">
        <v>31</v>
      </c>
      <c r="M203" s="46" t="s">
        <v>31</v>
      </c>
      <c r="N203" s="46"/>
      <c r="O203" s="62" t="s">
        <v>1037</v>
      </c>
      <c r="P203" s="413"/>
      <c r="Q203" s="46"/>
      <c r="R203" s="46"/>
      <c r="S203" s="46"/>
      <c r="T203" s="46"/>
      <c r="U203" s="46"/>
    </row>
    <row r="204" spans="1:21">
      <c r="A204" s="47" t="s">
        <v>226</v>
      </c>
      <c r="B204" s="46">
        <f>0.001*0.8</f>
        <v>8.0000000000000004E-4</v>
      </c>
      <c r="C204" s="46" t="s">
        <v>42</v>
      </c>
      <c r="D204" s="46" t="s">
        <v>40</v>
      </c>
      <c r="E204" s="46" t="s">
        <v>29</v>
      </c>
      <c r="F204" s="32" t="s">
        <v>741</v>
      </c>
      <c r="G204" s="46" t="s">
        <v>33</v>
      </c>
      <c r="H204" s="46">
        <v>2</v>
      </c>
      <c r="I204" s="46">
        <f t="shared" si="24"/>
        <v>-7.1308988302963465</v>
      </c>
      <c r="J204" s="46">
        <v>7.2284161474004766E-2</v>
      </c>
      <c r="K204" s="46" t="s">
        <v>31</v>
      </c>
      <c r="L204" s="46" t="s">
        <v>31</v>
      </c>
      <c r="M204" s="46" t="s">
        <v>31</v>
      </c>
      <c r="N204" s="46"/>
      <c r="O204" s="62"/>
      <c r="P204" s="413"/>
      <c r="Q204" s="427"/>
      <c r="R204" s="46"/>
      <c r="S204" s="46"/>
      <c r="T204" s="46"/>
      <c r="U204" s="46"/>
    </row>
    <row r="205" spans="1:21" s="41" customFormat="1">
      <c r="A205" s="362" t="s">
        <v>5</v>
      </c>
      <c r="B205" s="363" t="s">
        <v>1036</v>
      </c>
      <c r="C205" s="364"/>
      <c r="D205" s="345"/>
      <c r="E205" s="345"/>
      <c r="F205" s="345"/>
      <c r="G205" s="345"/>
      <c r="H205" s="345"/>
      <c r="I205" s="345"/>
      <c r="J205" s="345"/>
      <c r="K205" s="345"/>
      <c r="L205" s="345"/>
      <c r="M205" s="345"/>
      <c r="N205" s="345"/>
      <c r="O205" s="345"/>
      <c r="P205" s="345"/>
      <c r="Q205" s="345"/>
      <c r="R205" s="345"/>
      <c r="S205" s="345"/>
      <c r="T205" s="345"/>
      <c r="U205" s="345"/>
    </row>
    <row r="206" spans="1:21">
      <c r="A206" s="338" t="s">
        <v>7</v>
      </c>
      <c r="B206" s="46" t="s">
        <v>779</v>
      </c>
      <c r="C206" s="337"/>
      <c r="D206" s="46"/>
      <c r="E206" s="46"/>
      <c r="F206" s="46"/>
      <c r="G206" s="46"/>
      <c r="H206" s="46"/>
      <c r="I206" s="46"/>
      <c r="J206" s="46"/>
      <c r="K206" s="46"/>
      <c r="L206" s="46"/>
      <c r="M206" s="46"/>
      <c r="N206" s="46"/>
      <c r="O206" s="46"/>
      <c r="P206" s="46"/>
      <c r="Q206" s="46"/>
      <c r="R206" s="46"/>
      <c r="S206" s="46"/>
      <c r="T206" s="46"/>
      <c r="U206" s="46"/>
    </row>
    <row r="207" spans="1:21">
      <c r="A207" s="416" t="s">
        <v>9</v>
      </c>
      <c r="B207" s="46" t="s">
        <v>1038</v>
      </c>
      <c r="C207" s="337"/>
      <c r="D207" s="46"/>
      <c r="E207" s="46"/>
      <c r="F207" s="46"/>
      <c r="G207" s="46"/>
      <c r="H207" s="46"/>
      <c r="I207" s="46"/>
      <c r="J207" s="46"/>
      <c r="K207" s="46"/>
      <c r="L207" s="46"/>
      <c r="M207" s="46"/>
      <c r="N207" s="46"/>
      <c r="O207" s="46"/>
      <c r="P207" s="46"/>
      <c r="Q207" s="46"/>
      <c r="R207" s="46"/>
      <c r="S207" s="46"/>
      <c r="T207" s="46"/>
      <c r="U207" s="46"/>
    </row>
    <row r="208" spans="1:21" ht="15.75" customHeight="1">
      <c r="A208" s="338" t="s">
        <v>11</v>
      </c>
      <c r="B208" s="339" t="s">
        <v>789</v>
      </c>
      <c r="C208" s="46"/>
      <c r="D208" s="46"/>
      <c r="E208" s="46"/>
      <c r="F208" s="46"/>
      <c r="G208" s="46"/>
      <c r="H208" s="46"/>
      <c r="I208" s="46"/>
      <c r="J208" s="46"/>
      <c r="K208" s="46"/>
      <c r="L208" s="46"/>
      <c r="M208" s="46"/>
      <c r="N208" s="46"/>
      <c r="O208" s="46"/>
      <c r="P208" s="46"/>
      <c r="Q208" s="46"/>
      <c r="R208" s="46"/>
      <c r="S208" s="46"/>
      <c r="T208" s="46"/>
      <c r="U208" s="46"/>
    </row>
    <row r="209" spans="1:21">
      <c r="A209" s="338" t="s">
        <v>13</v>
      </c>
      <c r="B209" s="46" t="s">
        <v>14</v>
      </c>
      <c r="C209" s="46"/>
      <c r="D209" s="46"/>
      <c r="E209" s="46"/>
      <c r="F209" s="46"/>
      <c r="G209" s="46"/>
      <c r="H209" s="46"/>
      <c r="I209" s="46"/>
      <c r="J209" s="46"/>
      <c r="K209" s="46"/>
      <c r="L209" s="46"/>
      <c r="M209" s="46"/>
      <c r="N209" s="46"/>
      <c r="O209" s="46"/>
      <c r="P209" s="46"/>
      <c r="Q209" s="46"/>
      <c r="R209" s="46"/>
      <c r="S209" s="46"/>
      <c r="T209" s="46"/>
      <c r="U209" s="46"/>
    </row>
    <row r="210" spans="1:21">
      <c r="A210" s="338" t="s">
        <v>15</v>
      </c>
      <c r="B210" s="417">
        <f>B215</f>
        <v>0.05</v>
      </c>
      <c r="C210" s="46"/>
      <c r="D210" s="46"/>
      <c r="E210" s="46"/>
      <c r="F210" s="46"/>
      <c r="G210" s="46"/>
      <c r="H210" s="46"/>
      <c r="I210" s="46"/>
      <c r="J210" s="46"/>
      <c r="K210" s="46"/>
      <c r="L210" s="46"/>
      <c r="M210" s="46"/>
      <c r="N210" s="46"/>
      <c r="O210" s="46"/>
      <c r="P210" s="46"/>
      <c r="Q210" s="46"/>
      <c r="R210" s="46"/>
      <c r="S210" s="46"/>
      <c r="T210" s="46"/>
      <c r="U210" s="46"/>
    </row>
    <row r="211" spans="1:21">
      <c r="A211" s="338" t="s">
        <v>16</v>
      </c>
      <c r="B211" s="46" t="s">
        <v>17</v>
      </c>
      <c r="C211" s="46"/>
      <c r="D211" s="46"/>
      <c r="E211" s="46"/>
      <c r="F211" s="46"/>
      <c r="G211" s="46"/>
      <c r="H211" s="46"/>
      <c r="I211" s="46"/>
      <c r="J211" s="46"/>
      <c r="K211" s="46"/>
      <c r="L211" s="46"/>
      <c r="M211" s="46"/>
      <c r="N211" s="46"/>
      <c r="O211" s="46"/>
      <c r="P211" s="46"/>
      <c r="Q211" s="46"/>
      <c r="R211" s="46"/>
      <c r="S211" s="46"/>
      <c r="T211" s="46"/>
      <c r="U211" s="46"/>
    </row>
    <row r="212" spans="1:21">
      <c r="A212" s="338" t="s">
        <v>18</v>
      </c>
      <c r="B212" s="46" t="s">
        <v>113</v>
      </c>
      <c r="C212" s="46"/>
      <c r="D212" s="46"/>
      <c r="E212" s="46"/>
      <c r="F212" s="46"/>
      <c r="G212" s="46"/>
      <c r="H212" s="46"/>
      <c r="I212" s="46"/>
      <c r="J212" s="46"/>
      <c r="K212" s="46"/>
      <c r="L212" s="46"/>
      <c r="M212" s="46"/>
      <c r="N212" s="46"/>
      <c r="O212" s="46"/>
      <c r="P212" s="46"/>
      <c r="Q212" s="46"/>
      <c r="R212" s="46"/>
      <c r="S212" s="407"/>
      <c r="T212" s="46"/>
      <c r="U212" s="46"/>
    </row>
    <row r="213" spans="1:21">
      <c r="A213" s="335" t="s">
        <v>19</v>
      </c>
      <c r="B213" s="46"/>
      <c r="C213" s="46"/>
      <c r="D213" s="46"/>
      <c r="E213" s="46"/>
      <c r="F213" s="46"/>
      <c r="G213" s="46"/>
      <c r="H213" s="46"/>
      <c r="I213" s="46"/>
      <c r="J213" s="46"/>
      <c r="K213" s="46"/>
      <c r="L213" s="46"/>
      <c r="M213" s="46"/>
      <c r="N213" s="46"/>
      <c r="O213" s="46"/>
      <c r="P213" s="46"/>
      <c r="Q213" s="46"/>
      <c r="R213" s="46"/>
      <c r="S213" s="46"/>
      <c r="T213" s="46"/>
      <c r="U213" s="46"/>
    </row>
    <row r="214" spans="1:21">
      <c r="A214" s="336" t="s">
        <v>20</v>
      </c>
      <c r="B214" s="336" t="s">
        <v>21</v>
      </c>
      <c r="C214" s="336" t="s">
        <v>18</v>
      </c>
      <c r="D214" s="336" t="s">
        <v>22</v>
      </c>
      <c r="E214" s="336" t="s">
        <v>7</v>
      </c>
      <c r="F214" s="336" t="s">
        <v>13</v>
      </c>
      <c r="G214" s="336" t="s">
        <v>16</v>
      </c>
      <c r="H214" s="336" t="s">
        <v>23</v>
      </c>
      <c r="I214" s="336" t="s">
        <v>24</v>
      </c>
      <c r="J214" s="336" t="s">
        <v>25</v>
      </c>
      <c r="K214" s="336" t="s">
        <v>26</v>
      </c>
      <c r="L214" s="336" t="s">
        <v>27</v>
      </c>
      <c r="M214" s="336" t="s">
        <v>28</v>
      </c>
      <c r="N214" s="336" t="s">
        <v>11</v>
      </c>
      <c r="O214" s="46"/>
      <c r="P214" s="46"/>
      <c r="Q214" s="46"/>
      <c r="R214" s="46"/>
      <c r="S214" s="46"/>
      <c r="T214" s="46"/>
      <c r="U214" s="46"/>
    </row>
    <row r="215" spans="1:21">
      <c r="A215" s="46" t="s">
        <v>1036</v>
      </c>
      <c r="B215" s="407">
        <v>0.05</v>
      </c>
      <c r="C215" s="46" t="s">
        <v>113</v>
      </c>
      <c r="D215" s="400" t="s">
        <v>2</v>
      </c>
      <c r="E215" s="46" t="s">
        <v>29</v>
      </c>
      <c r="F215" s="46" t="s">
        <v>14</v>
      </c>
      <c r="G215" s="46" t="s">
        <v>30</v>
      </c>
      <c r="H215" s="46">
        <v>1</v>
      </c>
      <c r="I215" s="407">
        <f t="shared" ref="I215:I216" si="25">B215</f>
        <v>0.05</v>
      </c>
      <c r="J215" s="46" t="s">
        <v>31</v>
      </c>
      <c r="K215" s="46" t="s">
        <v>31</v>
      </c>
      <c r="L215" s="46" t="s">
        <v>31</v>
      </c>
      <c r="M215" s="46" t="s">
        <v>31</v>
      </c>
      <c r="N215" s="46"/>
      <c r="O215" s="393" t="s">
        <v>887</v>
      </c>
      <c r="P215" s="406">
        <f>B215*100</f>
        <v>5</v>
      </c>
      <c r="Q215" s="46"/>
      <c r="R215" s="46"/>
      <c r="S215" s="46"/>
      <c r="T215" s="46"/>
      <c r="U215" s="46"/>
    </row>
    <row r="216" spans="1:21">
      <c r="A216" s="46" t="s">
        <v>993</v>
      </c>
      <c r="B216" s="407">
        <f>'[3]Same processes'!B46</f>
        <v>0.25</v>
      </c>
      <c r="C216" s="46" t="s">
        <v>37</v>
      </c>
      <c r="D216" s="400" t="s">
        <v>2</v>
      </c>
      <c r="E216" s="46" t="s">
        <v>29</v>
      </c>
      <c r="F216" s="46" t="s">
        <v>14</v>
      </c>
      <c r="G216" s="46" t="s">
        <v>33</v>
      </c>
      <c r="H216" s="46">
        <v>1</v>
      </c>
      <c r="I216" s="407">
        <f t="shared" si="25"/>
        <v>0.25</v>
      </c>
      <c r="J216" s="46" t="s">
        <v>31</v>
      </c>
      <c r="K216" s="46" t="s">
        <v>31</v>
      </c>
      <c r="L216" s="46" t="s">
        <v>31</v>
      </c>
      <c r="M216" s="46" t="s">
        <v>31</v>
      </c>
      <c r="N216" s="46"/>
      <c r="O216" s="424"/>
      <c r="P216" s="447">
        <v>0.93</v>
      </c>
      <c r="Q216" s="46" t="s">
        <v>1039</v>
      </c>
      <c r="R216" s="46"/>
      <c r="S216" s="46"/>
      <c r="T216" s="46"/>
      <c r="U216" s="46"/>
    </row>
    <row r="217" spans="1:21">
      <c r="A217" s="338" t="s">
        <v>75</v>
      </c>
      <c r="B217" s="342">
        <f>P217</f>
        <v>0.06</v>
      </c>
      <c r="C217" s="46" t="s">
        <v>39</v>
      </c>
      <c r="D217" s="46" t="s">
        <v>40</v>
      </c>
      <c r="E217" s="46" t="s">
        <v>29</v>
      </c>
      <c r="F217" s="32" t="s">
        <v>35</v>
      </c>
      <c r="G217" s="46" t="s">
        <v>33</v>
      </c>
      <c r="H217" s="46">
        <v>2</v>
      </c>
      <c r="I217" s="46">
        <f t="shared" ref="I217:I218" si="26">LN(B217)</f>
        <v>-2.8134107167600364</v>
      </c>
      <c r="J217" s="46">
        <v>7.2284161474004766E-2</v>
      </c>
      <c r="K217" s="46" t="s">
        <v>31</v>
      </c>
      <c r="L217" s="46" t="s">
        <v>31</v>
      </c>
      <c r="M217" s="46" t="s">
        <v>31</v>
      </c>
      <c r="N217" s="46"/>
      <c r="O217" s="393" t="s">
        <v>216</v>
      </c>
      <c r="P217" s="406">
        <v>0.06</v>
      </c>
      <c r="Q217" s="46"/>
      <c r="R217" s="46"/>
      <c r="S217" s="46"/>
      <c r="T217" s="46"/>
      <c r="U217" s="46"/>
    </row>
    <row r="218" spans="1:21">
      <c r="A218" s="47" t="s">
        <v>547</v>
      </c>
      <c r="B218" s="46">
        <f>R218</f>
        <v>1E-3</v>
      </c>
      <c r="C218" s="407" t="s">
        <v>37</v>
      </c>
      <c r="D218" s="46" t="s">
        <v>40</v>
      </c>
      <c r="E218" s="46" t="s">
        <v>29</v>
      </c>
      <c r="F218" s="46" t="s">
        <v>58</v>
      </c>
      <c r="G218" s="46" t="s">
        <v>33</v>
      </c>
      <c r="H218" s="46">
        <v>2</v>
      </c>
      <c r="I218" s="46">
        <f t="shared" si="26"/>
        <v>-6.9077552789821368</v>
      </c>
      <c r="J218" s="46">
        <v>7.2284161474004766E-2</v>
      </c>
      <c r="K218" s="46" t="s">
        <v>31</v>
      </c>
      <c r="L218" s="46" t="s">
        <v>31</v>
      </c>
      <c r="M218" s="46" t="s">
        <v>31</v>
      </c>
      <c r="N218" s="46"/>
      <c r="O218" s="393" t="s">
        <v>575</v>
      </c>
      <c r="P218" s="406">
        <v>1</v>
      </c>
      <c r="Q218" s="46" t="s">
        <v>221</v>
      </c>
      <c r="R218" s="46">
        <f>P218*0.001</f>
        <v>1E-3</v>
      </c>
      <c r="S218" s="46"/>
      <c r="T218" s="46"/>
      <c r="U218" s="46"/>
    </row>
    <row r="219" spans="1:21">
      <c r="A219" s="61" t="s">
        <v>866</v>
      </c>
      <c r="B219" s="46">
        <f t="shared" ref="B219:B220" si="27">R219</f>
        <v>2E-3</v>
      </c>
      <c r="C219" s="46" t="s">
        <v>37</v>
      </c>
      <c r="D219" s="46" t="s">
        <v>40</v>
      </c>
      <c r="E219" s="46" t="s">
        <v>29</v>
      </c>
      <c r="F219" s="32" t="s">
        <v>35</v>
      </c>
      <c r="G219" s="46" t="s">
        <v>33</v>
      </c>
      <c r="H219" s="46">
        <v>2</v>
      </c>
      <c r="I219" s="46">
        <f>LN(B219)</f>
        <v>-6.2146080984221914</v>
      </c>
      <c r="J219" s="46">
        <v>7.2284161474004766E-2</v>
      </c>
      <c r="K219" s="46" t="s">
        <v>31</v>
      </c>
      <c r="L219" s="46" t="s">
        <v>31</v>
      </c>
      <c r="M219" s="46" t="s">
        <v>31</v>
      </c>
      <c r="N219" s="46"/>
      <c r="O219" s="393" t="s">
        <v>575</v>
      </c>
      <c r="P219" s="406">
        <v>2</v>
      </c>
      <c r="Q219" s="46" t="s">
        <v>221</v>
      </c>
      <c r="R219" s="46">
        <f>P219*0.001</f>
        <v>2E-3</v>
      </c>
      <c r="S219" s="46"/>
      <c r="T219" s="46"/>
      <c r="U219" s="46"/>
    </row>
    <row r="220" spans="1:21">
      <c r="A220" s="338" t="s">
        <v>792</v>
      </c>
      <c r="B220" s="46">
        <f t="shared" si="27"/>
        <v>2.1</v>
      </c>
      <c r="C220" s="46" t="s">
        <v>37</v>
      </c>
      <c r="D220" s="46" t="s">
        <v>40</v>
      </c>
      <c r="E220" s="46" t="s">
        <v>29</v>
      </c>
      <c r="F220" s="32" t="s">
        <v>741</v>
      </c>
      <c r="G220" s="46" t="s">
        <v>33</v>
      </c>
      <c r="H220" s="46">
        <v>2</v>
      </c>
      <c r="I220" s="46">
        <f t="shared" ref="I220:I221" si="28">LN(B220)</f>
        <v>0.74193734472937733</v>
      </c>
      <c r="J220" s="46">
        <v>7.2284161474004766E-2</v>
      </c>
      <c r="K220" s="46" t="s">
        <v>31</v>
      </c>
      <c r="L220" s="46" t="s">
        <v>31</v>
      </c>
      <c r="M220" s="46" t="s">
        <v>31</v>
      </c>
      <c r="N220" s="46"/>
      <c r="O220" s="393" t="s">
        <v>221</v>
      </c>
      <c r="P220" s="406">
        <v>2.1</v>
      </c>
      <c r="Q220" s="46" t="s">
        <v>221</v>
      </c>
      <c r="R220" s="46">
        <f>P220</f>
        <v>2.1</v>
      </c>
      <c r="S220" s="46"/>
      <c r="T220" s="46"/>
      <c r="U220" s="46"/>
    </row>
    <row r="221" spans="1:21">
      <c r="A221" s="47" t="s">
        <v>226</v>
      </c>
      <c r="B221" s="46">
        <f>R221</f>
        <v>2.1000000000000003E-3</v>
      </c>
      <c r="C221" s="46" t="s">
        <v>42</v>
      </c>
      <c r="D221" s="46" t="s">
        <v>40</v>
      </c>
      <c r="E221" s="46" t="s">
        <v>29</v>
      </c>
      <c r="F221" s="32" t="s">
        <v>741</v>
      </c>
      <c r="G221" s="46" t="s">
        <v>33</v>
      </c>
      <c r="H221" s="46">
        <v>2</v>
      </c>
      <c r="I221" s="46">
        <f t="shared" si="28"/>
        <v>-6.1658179342527593</v>
      </c>
      <c r="J221" s="46">
        <v>7.2284161474004766E-2</v>
      </c>
      <c r="K221" s="46" t="s">
        <v>31</v>
      </c>
      <c r="L221" s="46" t="s">
        <v>31</v>
      </c>
      <c r="M221" s="46" t="s">
        <v>31</v>
      </c>
      <c r="N221" s="46"/>
      <c r="O221" s="410" t="s">
        <v>858</v>
      </c>
      <c r="P221" s="411">
        <v>2.1</v>
      </c>
      <c r="Q221" s="46" t="s">
        <v>219</v>
      </c>
      <c r="R221" s="46">
        <f>0.001*P221</f>
        <v>2.1000000000000003E-3</v>
      </c>
      <c r="S221" s="46"/>
      <c r="T221" s="46"/>
      <c r="U221" s="46"/>
    </row>
    <row r="222" spans="1:21" s="41" customFormat="1">
      <c r="A222" s="362" t="s">
        <v>5</v>
      </c>
      <c r="B222" s="438" t="s">
        <v>1029</v>
      </c>
      <c r="C222" s="364"/>
      <c r="D222" s="345"/>
      <c r="E222" s="345"/>
      <c r="F222" s="345"/>
      <c r="G222" s="345"/>
      <c r="H222" s="345"/>
      <c r="I222" s="345"/>
      <c r="J222" s="345"/>
      <c r="K222" s="345"/>
      <c r="L222" s="345"/>
      <c r="M222" s="345"/>
      <c r="N222" s="345"/>
      <c r="O222" s="345"/>
      <c r="P222" s="46"/>
      <c r="Q222" s="345"/>
      <c r="R222" s="345"/>
      <c r="S222" s="345"/>
      <c r="T222" s="345"/>
      <c r="U222" s="345"/>
    </row>
    <row r="223" spans="1:21">
      <c r="A223" s="338" t="s">
        <v>7</v>
      </c>
      <c r="B223" s="46" t="s">
        <v>779</v>
      </c>
      <c r="C223" s="337"/>
      <c r="D223" s="46"/>
      <c r="E223" s="46"/>
      <c r="F223" s="46"/>
      <c r="G223" s="46"/>
      <c r="H223" s="46"/>
      <c r="I223" s="46"/>
      <c r="J223" s="46"/>
      <c r="K223" s="46"/>
      <c r="L223" s="46"/>
      <c r="M223" s="46"/>
      <c r="N223" s="46"/>
      <c r="O223" s="46"/>
      <c r="P223" s="46"/>
      <c r="Q223" s="46"/>
      <c r="R223" s="46"/>
      <c r="S223" s="46"/>
      <c r="T223" s="46"/>
      <c r="U223" s="46"/>
    </row>
    <row r="224" spans="1:21">
      <c r="A224" s="416" t="s">
        <v>9</v>
      </c>
      <c r="B224" s="46" t="s">
        <v>1040</v>
      </c>
      <c r="C224" s="337"/>
      <c r="D224" s="46"/>
      <c r="E224" s="46"/>
      <c r="F224" s="46"/>
      <c r="G224" s="46"/>
      <c r="H224" s="46"/>
      <c r="I224" s="46"/>
      <c r="J224" s="46"/>
      <c r="K224" s="46"/>
      <c r="L224" s="46"/>
      <c r="M224" s="46"/>
      <c r="N224" s="46"/>
      <c r="O224" s="46"/>
      <c r="P224" s="46"/>
      <c r="Q224" s="46"/>
      <c r="R224" s="46"/>
      <c r="S224" s="46"/>
      <c r="T224" s="46"/>
      <c r="U224" s="46"/>
    </row>
    <row r="225" spans="1:21" ht="15.75" customHeight="1">
      <c r="A225" s="338" t="s">
        <v>11</v>
      </c>
      <c r="B225" s="339" t="s">
        <v>789</v>
      </c>
      <c r="C225" s="46"/>
      <c r="D225" s="46"/>
      <c r="E225" s="46"/>
      <c r="F225" s="46"/>
      <c r="G225" s="46"/>
      <c r="H225" s="46"/>
      <c r="I225" s="46"/>
      <c r="J225" s="46"/>
      <c r="K225" s="46"/>
      <c r="L225" s="46"/>
      <c r="M225" s="46"/>
      <c r="N225" s="46"/>
      <c r="O225" s="46"/>
      <c r="P225" s="46"/>
      <c r="Q225" s="46"/>
      <c r="R225" s="46"/>
      <c r="S225" s="46"/>
      <c r="T225" s="46"/>
      <c r="U225" s="46"/>
    </row>
    <row r="226" spans="1:21">
      <c r="A226" s="338" t="s">
        <v>13</v>
      </c>
      <c r="B226" s="46" t="s">
        <v>14</v>
      </c>
      <c r="C226" s="46"/>
      <c r="D226" s="46"/>
      <c r="E226" s="46"/>
      <c r="F226" s="46"/>
      <c r="G226" s="46"/>
      <c r="H226" s="46"/>
      <c r="I226" s="46"/>
      <c r="J226" s="46"/>
      <c r="K226" s="46"/>
      <c r="L226" s="46"/>
      <c r="M226" s="46"/>
      <c r="N226" s="46"/>
      <c r="O226" s="46"/>
      <c r="P226" s="46"/>
      <c r="Q226" s="46"/>
      <c r="R226" s="46"/>
      <c r="S226" s="46"/>
      <c r="T226" s="46"/>
      <c r="U226" s="46"/>
    </row>
    <row r="227" spans="1:21">
      <c r="A227" s="338" t="s">
        <v>15</v>
      </c>
      <c r="B227" s="417">
        <f>B232</f>
        <v>1.4E-3</v>
      </c>
      <c r="C227" s="46"/>
      <c r="D227" s="46"/>
      <c r="E227" s="46"/>
      <c r="F227" s="46"/>
      <c r="G227" s="46"/>
      <c r="H227" s="46"/>
      <c r="I227" s="46"/>
      <c r="J227" s="46"/>
      <c r="K227" s="46"/>
      <c r="L227" s="46"/>
      <c r="M227" s="46"/>
      <c r="N227" s="46"/>
      <c r="O227" s="46"/>
      <c r="P227" s="46"/>
      <c r="Q227" s="46"/>
      <c r="R227" s="46"/>
      <c r="S227" s="46"/>
      <c r="T227" s="46"/>
      <c r="U227" s="46"/>
    </row>
    <row r="228" spans="1:21">
      <c r="A228" s="338" t="s">
        <v>16</v>
      </c>
      <c r="B228" s="46" t="s">
        <v>17</v>
      </c>
      <c r="C228" s="46"/>
      <c r="D228" s="46"/>
      <c r="E228" s="46"/>
      <c r="F228" s="46"/>
      <c r="G228" s="46"/>
      <c r="H228" s="46"/>
      <c r="I228" s="46"/>
      <c r="J228" s="46"/>
      <c r="K228" s="46"/>
      <c r="L228" s="46"/>
      <c r="M228" s="46"/>
      <c r="N228" s="46"/>
      <c r="O228" s="46"/>
      <c r="P228" s="46"/>
      <c r="Q228" s="46"/>
      <c r="R228" s="46"/>
      <c r="S228" s="46"/>
      <c r="T228" s="46"/>
      <c r="U228" s="46"/>
    </row>
    <row r="229" spans="1:21">
      <c r="A229" s="338" t="s">
        <v>18</v>
      </c>
      <c r="B229" s="46" t="s">
        <v>113</v>
      </c>
      <c r="C229" s="46"/>
      <c r="D229" s="46"/>
      <c r="E229" s="46"/>
      <c r="F229" s="46"/>
      <c r="G229" s="46"/>
      <c r="H229" s="46"/>
      <c r="I229" s="46"/>
      <c r="J229" s="46"/>
      <c r="K229" s="46"/>
      <c r="L229" s="46"/>
      <c r="M229" s="46"/>
      <c r="N229" s="46"/>
      <c r="O229" s="46"/>
      <c r="P229" s="46"/>
      <c r="Q229" s="46"/>
      <c r="R229" s="46"/>
      <c r="S229" s="46"/>
      <c r="T229" s="46"/>
      <c r="U229" s="46"/>
    </row>
    <row r="230" spans="1:21">
      <c r="A230" s="335" t="s">
        <v>19</v>
      </c>
      <c r="B230" s="46"/>
      <c r="C230" s="46"/>
      <c r="D230" s="46"/>
      <c r="E230" s="46"/>
      <c r="F230" s="46"/>
      <c r="G230" s="46"/>
      <c r="H230" s="46"/>
      <c r="I230" s="46"/>
      <c r="J230" s="46"/>
      <c r="K230" s="46"/>
      <c r="L230" s="46"/>
      <c r="M230" s="46"/>
      <c r="N230" s="46"/>
      <c r="O230" s="46"/>
      <c r="P230" s="46"/>
      <c r="Q230" s="46"/>
      <c r="R230" s="46"/>
      <c r="S230" s="46"/>
      <c r="T230" s="46"/>
      <c r="U230" s="46"/>
    </row>
    <row r="231" spans="1:21">
      <c r="A231" s="336" t="s">
        <v>20</v>
      </c>
      <c r="B231" s="336" t="s">
        <v>21</v>
      </c>
      <c r="C231" s="336" t="s">
        <v>18</v>
      </c>
      <c r="D231" s="336" t="s">
        <v>22</v>
      </c>
      <c r="E231" s="336" t="s">
        <v>7</v>
      </c>
      <c r="F231" s="336" t="s">
        <v>13</v>
      </c>
      <c r="G231" s="336" t="s">
        <v>16</v>
      </c>
      <c r="H231" s="336" t="s">
        <v>23</v>
      </c>
      <c r="I231" s="336" t="s">
        <v>24</v>
      </c>
      <c r="J231" s="336" t="s">
        <v>25</v>
      </c>
      <c r="K231" s="336" t="s">
        <v>26</v>
      </c>
      <c r="L231" s="336" t="s">
        <v>27</v>
      </c>
      <c r="M231" s="336" t="s">
        <v>28</v>
      </c>
      <c r="N231" s="336" t="s">
        <v>11</v>
      </c>
      <c r="O231" s="46"/>
      <c r="P231" s="46"/>
      <c r="Q231" s="46"/>
      <c r="R231" s="46"/>
      <c r="S231" s="46"/>
      <c r="T231" s="46"/>
      <c r="U231" s="46"/>
    </row>
    <row r="232" spans="1:21">
      <c r="A232" s="46" t="s">
        <v>1029</v>
      </c>
      <c r="B232" s="407">
        <v>1.4E-3</v>
      </c>
      <c r="C232" s="46" t="s">
        <v>113</v>
      </c>
      <c r="D232" s="400" t="s">
        <v>2</v>
      </c>
      <c r="E232" s="46" t="s">
        <v>29</v>
      </c>
      <c r="F232" s="32" t="s">
        <v>14</v>
      </c>
      <c r="G232" s="46" t="s">
        <v>30</v>
      </c>
      <c r="H232" s="46">
        <v>1</v>
      </c>
      <c r="I232" s="407">
        <f t="shared" ref="I232:I234" si="29">B232</f>
        <v>1.4E-3</v>
      </c>
      <c r="J232" s="46" t="s">
        <v>31</v>
      </c>
      <c r="K232" s="46" t="s">
        <v>31</v>
      </c>
      <c r="L232" s="46" t="s">
        <v>31</v>
      </c>
      <c r="M232" s="46" t="s">
        <v>31</v>
      </c>
      <c r="N232" s="46"/>
      <c r="O232" s="466"/>
      <c r="P232" s="467"/>
      <c r="Q232" s="46"/>
      <c r="R232" s="46"/>
      <c r="S232" s="46"/>
      <c r="T232" s="46"/>
      <c r="U232" s="46"/>
    </row>
    <row r="233" spans="1:21">
      <c r="A233" s="46" t="s">
        <v>1041</v>
      </c>
      <c r="B233" s="407">
        <f>B253</f>
        <v>1.4E-3</v>
      </c>
      <c r="C233" s="46" t="s">
        <v>113</v>
      </c>
      <c r="D233" s="400" t="s">
        <v>2</v>
      </c>
      <c r="E233" s="46" t="s">
        <v>29</v>
      </c>
      <c r="F233" s="32" t="s">
        <v>14</v>
      </c>
      <c r="G233" s="46" t="s">
        <v>33</v>
      </c>
      <c r="H233" s="46">
        <v>1</v>
      </c>
      <c r="I233" s="407">
        <f t="shared" si="29"/>
        <v>1.4E-3</v>
      </c>
      <c r="J233" s="46" t="s">
        <v>31</v>
      </c>
      <c r="K233" s="46" t="s">
        <v>31</v>
      </c>
      <c r="L233" s="46" t="s">
        <v>31</v>
      </c>
      <c r="M233" s="46" t="s">
        <v>31</v>
      </c>
      <c r="N233" s="46"/>
      <c r="O233" s="466"/>
      <c r="P233" s="467"/>
      <c r="Q233" s="46"/>
      <c r="R233" s="46"/>
      <c r="S233" s="46"/>
      <c r="T233" s="46"/>
      <c r="U233" s="46"/>
    </row>
    <row r="234" spans="1:21">
      <c r="A234" s="46" t="s">
        <v>1042</v>
      </c>
      <c r="B234" s="407">
        <f>B241</f>
        <v>2.7000000000000006E-4</v>
      </c>
      <c r="C234" s="46" t="s">
        <v>113</v>
      </c>
      <c r="D234" s="400" t="s">
        <v>2</v>
      </c>
      <c r="E234" s="46" t="s">
        <v>29</v>
      </c>
      <c r="F234" s="32" t="s">
        <v>14</v>
      </c>
      <c r="G234" s="46" t="s">
        <v>33</v>
      </c>
      <c r="H234" s="46">
        <v>1</v>
      </c>
      <c r="I234" s="407">
        <f t="shared" si="29"/>
        <v>2.7000000000000006E-4</v>
      </c>
      <c r="J234" s="46" t="s">
        <v>31</v>
      </c>
      <c r="K234" s="46" t="s">
        <v>31</v>
      </c>
      <c r="L234" s="46" t="s">
        <v>31</v>
      </c>
      <c r="M234" s="46" t="s">
        <v>31</v>
      </c>
      <c r="N234" s="46"/>
      <c r="O234" s="401"/>
      <c r="P234" s="468"/>
      <c r="Q234" s="46"/>
      <c r="R234" s="46"/>
      <c r="S234" s="46"/>
      <c r="T234" s="46"/>
      <c r="U234" s="46"/>
    </row>
    <row r="235" spans="1:21">
      <c r="A235" s="338" t="s">
        <v>75</v>
      </c>
      <c r="B235" s="407">
        <f>P235</f>
        <v>0.03</v>
      </c>
      <c r="C235" s="46" t="s">
        <v>39</v>
      </c>
      <c r="D235" s="46" t="s">
        <v>40</v>
      </c>
      <c r="E235" s="46" t="s">
        <v>29</v>
      </c>
      <c r="F235" s="32" t="s">
        <v>35</v>
      </c>
      <c r="G235" s="46" t="s">
        <v>33</v>
      </c>
      <c r="H235" s="46">
        <v>2</v>
      </c>
      <c r="I235" s="46">
        <f t="shared" ref="I235" si="30">LN(B235)</f>
        <v>-3.5065578973199818</v>
      </c>
      <c r="J235" s="46">
        <v>0.20928449536456342</v>
      </c>
      <c r="K235" s="46" t="s">
        <v>31</v>
      </c>
      <c r="L235" s="46" t="s">
        <v>31</v>
      </c>
      <c r="M235" s="46" t="s">
        <v>31</v>
      </c>
      <c r="N235" s="46"/>
      <c r="O235" s="469" t="s">
        <v>216</v>
      </c>
      <c r="P235" s="470">
        <v>0.03</v>
      </c>
      <c r="Q235" s="46"/>
      <c r="R235" s="46"/>
      <c r="S235" s="46"/>
      <c r="T235" s="46"/>
      <c r="U235" s="46"/>
    </row>
    <row r="236" spans="1:21" s="41" customFormat="1">
      <c r="A236" s="362" t="s">
        <v>5</v>
      </c>
      <c r="B236" s="438" t="s">
        <v>1042</v>
      </c>
      <c r="C236" s="364"/>
      <c r="D236" s="345"/>
      <c r="E236" s="345"/>
      <c r="F236" s="345"/>
      <c r="G236" s="345"/>
      <c r="H236" s="345"/>
      <c r="I236" s="345"/>
      <c r="J236" s="345"/>
      <c r="K236" s="345"/>
      <c r="L236" s="345"/>
      <c r="M236" s="345"/>
      <c r="N236" s="345"/>
      <c r="O236" s="345"/>
      <c r="P236" s="345"/>
      <c r="Q236" s="345"/>
      <c r="R236" s="345"/>
      <c r="S236" s="345"/>
      <c r="T236" s="345"/>
      <c r="U236" s="345"/>
    </row>
    <row r="237" spans="1:21">
      <c r="A237" s="338" t="s">
        <v>7</v>
      </c>
      <c r="B237" s="46" t="s">
        <v>779</v>
      </c>
      <c r="C237" s="337"/>
      <c r="D237" s="46"/>
      <c r="E237" s="46"/>
      <c r="F237" s="46"/>
      <c r="G237" s="46"/>
      <c r="H237" s="46"/>
      <c r="I237" s="46"/>
      <c r="J237" s="46"/>
      <c r="K237" s="46"/>
      <c r="L237" s="46"/>
      <c r="M237" s="46"/>
      <c r="N237" s="46"/>
      <c r="O237" s="46"/>
      <c r="P237" s="46"/>
      <c r="Q237" s="46"/>
      <c r="R237" s="46"/>
      <c r="S237" s="46"/>
      <c r="T237" s="46"/>
      <c r="U237" s="46"/>
    </row>
    <row r="238" spans="1:21">
      <c r="A238" s="416" t="s">
        <v>9</v>
      </c>
      <c r="B238" s="46" t="s">
        <v>1043</v>
      </c>
      <c r="C238" s="337"/>
      <c r="D238" s="46"/>
      <c r="E238" s="46"/>
      <c r="F238" s="46"/>
      <c r="G238" s="46"/>
      <c r="H238" s="46"/>
      <c r="I238" s="46"/>
      <c r="J238" s="46"/>
      <c r="K238" s="46"/>
      <c r="L238" s="46"/>
      <c r="M238" s="46"/>
      <c r="N238" s="46"/>
      <c r="O238" s="46"/>
      <c r="P238" s="46"/>
      <c r="Q238" s="46"/>
      <c r="R238" s="46"/>
      <c r="S238" s="46"/>
      <c r="T238" s="46"/>
      <c r="U238" s="46"/>
    </row>
    <row r="239" spans="1:21" ht="15.75" customHeight="1">
      <c r="A239" s="338" t="s">
        <v>11</v>
      </c>
      <c r="B239" s="339" t="s">
        <v>789</v>
      </c>
      <c r="C239" s="46"/>
      <c r="D239" s="46"/>
      <c r="E239" s="46"/>
      <c r="F239" s="46"/>
      <c r="G239" s="46"/>
      <c r="H239" s="46"/>
      <c r="I239" s="46"/>
      <c r="J239" s="46"/>
      <c r="K239" s="46"/>
      <c r="L239" s="46"/>
      <c r="M239" s="46"/>
      <c r="N239" s="46"/>
      <c r="O239" s="46"/>
      <c r="P239" s="46"/>
      <c r="Q239" s="46"/>
      <c r="R239" s="46"/>
      <c r="S239" s="46"/>
      <c r="T239" s="46"/>
      <c r="U239" s="46"/>
    </row>
    <row r="240" spans="1:21">
      <c r="A240" s="338" t="s">
        <v>13</v>
      </c>
      <c r="B240" s="46" t="s">
        <v>14</v>
      </c>
      <c r="C240" s="46"/>
      <c r="D240" s="46"/>
      <c r="E240" s="46"/>
      <c r="F240" s="46"/>
      <c r="G240" s="46"/>
      <c r="H240" s="46"/>
      <c r="I240" s="46"/>
      <c r="J240" s="46"/>
      <c r="K240" s="46"/>
      <c r="L240" s="46"/>
      <c r="M240" s="46"/>
      <c r="N240" s="46"/>
      <c r="O240" s="46"/>
      <c r="P240" s="46"/>
      <c r="Q240" s="46"/>
      <c r="R240" s="46"/>
      <c r="S240" s="46"/>
      <c r="T240" s="46"/>
      <c r="U240" s="46"/>
    </row>
    <row r="241" spans="1:21">
      <c r="A241" s="338" t="s">
        <v>15</v>
      </c>
      <c r="B241" s="407">
        <f>B247</f>
        <v>2.7000000000000006E-4</v>
      </c>
      <c r="C241" s="46"/>
      <c r="D241" s="46"/>
      <c r="E241" s="46"/>
      <c r="F241" s="46"/>
      <c r="G241" s="46"/>
      <c r="H241" s="46"/>
      <c r="I241" s="46"/>
      <c r="J241" s="46"/>
      <c r="K241" s="46"/>
      <c r="L241" s="46"/>
      <c r="M241" s="46"/>
      <c r="N241" s="46"/>
      <c r="O241" s="46"/>
      <c r="P241" s="46"/>
      <c r="Q241" s="46"/>
      <c r="R241" s="46"/>
      <c r="S241" s="46"/>
      <c r="T241" s="46"/>
      <c r="U241" s="46"/>
    </row>
    <row r="242" spans="1:21">
      <c r="A242" s="338" t="s">
        <v>16</v>
      </c>
      <c r="B242" s="46" t="s">
        <v>17</v>
      </c>
      <c r="C242" s="46"/>
      <c r="D242" s="46"/>
      <c r="E242" s="46"/>
      <c r="F242" s="46"/>
      <c r="G242" s="46"/>
      <c r="H242" s="46"/>
      <c r="I242" s="46"/>
      <c r="J242" s="46"/>
      <c r="K242" s="46"/>
      <c r="L242" s="46"/>
      <c r="M242" s="46"/>
      <c r="N242" s="46"/>
      <c r="O242" s="46"/>
      <c r="P242" s="46"/>
      <c r="Q242" s="46"/>
      <c r="R242" s="46"/>
      <c r="S242" s="46"/>
      <c r="T242" s="46"/>
      <c r="U242" s="46"/>
    </row>
    <row r="243" spans="1:21">
      <c r="A243" s="338" t="s">
        <v>18</v>
      </c>
      <c r="B243" s="46" t="s">
        <v>113</v>
      </c>
      <c r="C243" s="46"/>
      <c r="D243" s="46"/>
      <c r="E243" s="46"/>
      <c r="F243" s="46"/>
      <c r="G243" s="46"/>
      <c r="H243" s="46"/>
      <c r="I243" s="46"/>
      <c r="J243" s="46"/>
      <c r="K243" s="46"/>
      <c r="L243" s="46"/>
      <c r="M243" s="46"/>
      <c r="N243" s="46"/>
      <c r="O243" s="46"/>
      <c r="P243" s="46"/>
      <c r="Q243" s="46"/>
      <c r="R243" s="46"/>
      <c r="S243" s="46"/>
      <c r="T243" s="46"/>
      <c r="U243" s="46"/>
    </row>
    <row r="244" spans="1:21">
      <c r="A244" s="335" t="s">
        <v>19</v>
      </c>
      <c r="B244" s="46"/>
      <c r="C244" s="46"/>
      <c r="D244" s="46"/>
      <c r="E244" s="46"/>
      <c r="F244" s="46"/>
      <c r="G244" s="46"/>
      <c r="H244" s="46"/>
      <c r="I244" s="46"/>
      <c r="J244" s="46"/>
      <c r="K244" s="46"/>
      <c r="L244" s="46"/>
      <c r="M244" s="46"/>
      <c r="N244" s="46"/>
      <c r="O244" s="46"/>
      <c r="P244" s="46"/>
      <c r="Q244" s="46"/>
      <c r="R244" s="46"/>
      <c r="S244" s="46"/>
      <c r="T244" s="46"/>
      <c r="U244" s="46"/>
    </row>
    <row r="245" spans="1:21">
      <c r="A245" s="336" t="s">
        <v>20</v>
      </c>
      <c r="B245" s="336" t="s">
        <v>21</v>
      </c>
      <c r="C245" s="336" t="s">
        <v>18</v>
      </c>
      <c r="D245" s="336" t="s">
        <v>22</v>
      </c>
      <c r="E245" s="336" t="s">
        <v>7</v>
      </c>
      <c r="F245" s="336" t="s">
        <v>13</v>
      </c>
      <c r="G245" s="336" t="s">
        <v>16</v>
      </c>
      <c r="H245" s="336" t="s">
        <v>23</v>
      </c>
      <c r="I245" s="336" t="s">
        <v>24</v>
      </c>
      <c r="J245" s="336" t="s">
        <v>25</v>
      </c>
      <c r="K245" s="336" t="s">
        <v>26</v>
      </c>
      <c r="L245" s="336" t="s">
        <v>27</v>
      </c>
      <c r="M245" s="336" t="s">
        <v>28</v>
      </c>
      <c r="N245" s="336" t="s">
        <v>11</v>
      </c>
      <c r="O245" s="46"/>
      <c r="P245" s="46"/>
      <c r="Q245" s="46"/>
      <c r="R245" s="46"/>
      <c r="S245" s="46"/>
      <c r="T245" s="46"/>
      <c r="U245" s="46"/>
    </row>
    <row r="246" spans="1:21">
      <c r="A246" s="46" t="s">
        <v>1042</v>
      </c>
      <c r="B246" s="407">
        <f>2.7*0.0001</f>
        <v>2.7000000000000006E-4</v>
      </c>
      <c r="C246" s="46" t="s">
        <v>113</v>
      </c>
      <c r="D246" s="400" t="s">
        <v>2</v>
      </c>
      <c r="E246" s="46" t="s">
        <v>29</v>
      </c>
      <c r="F246" s="32" t="s">
        <v>14</v>
      </c>
      <c r="G246" s="46" t="s">
        <v>30</v>
      </c>
      <c r="H246" s="46">
        <v>1</v>
      </c>
      <c r="I246" s="407">
        <f>B246</f>
        <v>2.7000000000000006E-4</v>
      </c>
      <c r="J246" s="46" t="s">
        <v>31</v>
      </c>
      <c r="K246" s="46" t="s">
        <v>31</v>
      </c>
      <c r="L246" s="46" t="s">
        <v>31</v>
      </c>
      <c r="M246" s="46" t="s">
        <v>31</v>
      </c>
      <c r="N246" s="46"/>
      <c r="O246" s="46"/>
      <c r="P246" s="46"/>
      <c r="Q246" s="46"/>
      <c r="R246" s="46"/>
      <c r="S246" s="46"/>
      <c r="T246" s="46"/>
      <c r="U246" s="46"/>
    </row>
    <row r="247" spans="1:21">
      <c r="A247" s="47" t="s">
        <v>942</v>
      </c>
      <c r="B247" s="407">
        <f>2.7*0.0001</f>
        <v>2.7000000000000006E-4</v>
      </c>
      <c r="C247" s="46" t="s">
        <v>113</v>
      </c>
      <c r="D247" s="46" t="s">
        <v>40</v>
      </c>
      <c r="E247" s="46" t="s">
        <v>29</v>
      </c>
      <c r="F247" s="46" t="s">
        <v>58</v>
      </c>
      <c r="G247" s="46" t="s">
        <v>33</v>
      </c>
      <c r="H247" s="46">
        <v>2</v>
      </c>
      <c r="I247" s="46">
        <f>LN(B247)</f>
        <v>-8.2170885989658995</v>
      </c>
      <c r="J247" s="46">
        <v>3.7749172176353707E-2</v>
      </c>
      <c r="K247" s="46" t="s">
        <v>31</v>
      </c>
      <c r="L247" s="46" t="s">
        <v>31</v>
      </c>
      <c r="M247" s="46" t="s">
        <v>31</v>
      </c>
      <c r="N247" s="46"/>
      <c r="O247" s="46"/>
      <c r="P247" s="46"/>
      <c r="Q247" s="46"/>
      <c r="R247" s="46"/>
      <c r="S247" s="46"/>
      <c r="T247" s="46"/>
      <c r="U247" s="46"/>
    </row>
    <row r="248" spans="1:21" s="41" customFormat="1">
      <c r="A248" s="362" t="s">
        <v>5</v>
      </c>
      <c r="B248" s="363" t="s">
        <v>1041</v>
      </c>
      <c r="C248" s="345"/>
      <c r="D248" s="345"/>
      <c r="E248" s="345"/>
      <c r="F248" s="345"/>
      <c r="G248" s="345"/>
      <c r="H248" s="345"/>
      <c r="I248" s="345"/>
      <c r="J248" s="345"/>
      <c r="K248" s="345"/>
      <c r="L248" s="345"/>
      <c r="M248" s="345"/>
      <c r="N248" s="345"/>
      <c r="O248" s="345"/>
      <c r="P248" s="345"/>
      <c r="Q248" s="345"/>
      <c r="R248" s="345"/>
      <c r="S248" s="345"/>
      <c r="T248" s="345"/>
      <c r="U248" s="345"/>
    </row>
    <row r="249" spans="1:21">
      <c r="A249" s="338" t="s">
        <v>7</v>
      </c>
      <c r="B249" s="46" t="s">
        <v>779</v>
      </c>
      <c r="C249" s="337"/>
      <c r="D249" s="46"/>
      <c r="E249" s="46"/>
      <c r="F249" s="46"/>
      <c r="G249" s="46"/>
      <c r="H249" s="46"/>
      <c r="I249" s="46"/>
      <c r="J249" s="46"/>
      <c r="K249" s="46"/>
      <c r="L249" s="46"/>
      <c r="M249" s="46"/>
      <c r="N249" s="46"/>
      <c r="O249" s="46"/>
      <c r="P249" s="46"/>
      <c r="Q249" s="46"/>
      <c r="R249" s="46"/>
      <c r="S249" s="46"/>
      <c r="T249" s="46"/>
      <c r="U249" s="46"/>
    </row>
    <row r="250" spans="1:21">
      <c r="A250" s="416" t="s">
        <v>9</v>
      </c>
      <c r="B250" s="46" t="s">
        <v>1044</v>
      </c>
      <c r="C250" s="337"/>
      <c r="D250" s="46"/>
      <c r="E250" s="46"/>
      <c r="F250" s="46"/>
      <c r="G250" s="46"/>
      <c r="H250" s="46"/>
      <c r="I250" s="46"/>
      <c r="J250" s="46"/>
      <c r="K250" s="46"/>
      <c r="L250" s="46"/>
      <c r="M250" s="46"/>
      <c r="N250" s="46"/>
      <c r="O250" s="46"/>
      <c r="P250" s="46"/>
      <c r="Q250" s="46"/>
      <c r="R250" s="46"/>
      <c r="S250" s="46"/>
      <c r="T250" s="46"/>
      <c r="U250" s="46"/>
    </row>
    <row r="251" spans="1:21" ht="15.75" customHeight="1">
      <c r="A251" s="338" t="s">
        <v>11</v>
      </c>
      <c r="B251" s="339" t="s">
        <v>789</v>
      </c>
      <c r="C251" s="46"/>
      <c r="D251" s="46"/>
      <c r="E251" s="46"/>
      <c r="F251" s="46"/>
      <c r="G251" s="46"/>
      <c r="H251" s="46"/>
      <c r="I251" s="46"/>
      <c r="J251" s="46"/>
      <c r="K251" s="46"/>
      <c r="L251" s="46"/>
      <c r="M251" s="46"/>
      <c r="N251" s="46"/>
      <c r="O251" s="46"/>
      <c r="P251" s="46"/>
      <c r="Q251" s="46"/>
      <c r="R251" s="46"/>
      <c r="S251" s="46"/>
      <c r="T251" s="46"/>
      <c r="U251" s="46"/>
    </row>
    <row r="252" spans="1:21">
      <c r="A252" s="338" t="s">
        <v>13</v>
      </c>
      <c r="B252" s="46" t="s">
        <v>14</v>
      </c>
      <c r="C252" s="46"/>
      <c r="D252" s="46"/>
      <c r="E252" s="46"/>
      <c r="F252" s="46"/>
      <c r="G252" s="46"/>
      <c r="H252" s="46"/>
      <c r="I252" s="46"/>
      <c r="J252" s="46"/>
      <c r="K252" s="46"/>
      <c r="L252" s="46"/>
      <c r="M252" s="46"/>
      <c r="N252" s="46"/>
      <c r="O252" s="46"/>
      <c r="P252" s="46"/>
      <c r="Q252" s="46"/>
      <c r="R252" s="46"/>
      <c r="S252" s="46"/>
      <c r="T252" s="46"/>
      <c r="U252" s="46"/>
    </row>
    <row r="253" spans="1:21">
      <c r="A253" s="338" t="s">
        <v>15</v>
      </c>
      <c r="B253" s="407">
        <f>B258</f>
        <v>1.4E-3</v>
      </c>
      <c r="C253" s="46"/>
      <c r="D253" s="46"/>
      <c r="E253" s="46"/>
      <c r="F253" s="46"/>
      <c r="G253" s="46"/>
      <c r="H253" s="46"/>
      <c r="I253" s="46"/>
      <c r="J253" s="46"/>
      <c r="K253" s="46"/>
      <c r="L253" s="46"/>
      <c r="M253" s="46"/>
      <c r="N253" s="46"/>
      <c r="O253" s="46"/>
      <c r="P253" s="46"/>
      <c r="Q253" s="46"/>
      <c r="R253" s="46"/>
      <c r="S253" s="46"/>
      <c r="T253" s="46"/>
      <c r="U253" s="46"/>
    </row>
    <row r="254" spans="1:21">
      <c r="A254" s="338" t="s">
        <v>16</v>
      </c>
      <c r="B254" s="46" t="s">
        <v>17</v>
      </c>
      <c r="C254" s="46"/>
      <c r="D254" s="46"/>
      <c r="E254" s="46"/>
      <c r="F254" s="46"/>
      <c r="G254" s="46"/>
      <c r="H254" s="46"/>
      <c r="I254" s="46"/>
      <c r="J254" s="46"/>
      <c r="K254" s="46"/>
      <c r="L254" s="46"/>
      <c r="M254" s="46"/>
      <c r="N254" s="46"/>
      <c r="O254" s="46"/>
      <c r="P254" s="46"/>
      <c r="Q254" s="46"/>
      <c r="R254" s="46"/>
      <c r="S254" s="46"/>
      <c r="T254" s="46"/>
      <c r="U254" s="46"/>
    </row>
    <row r="255" spans="1:21">
      <c r="A255" s="338" t="s">
        <v>18</v>
      </c>
      <c r="B255" s="46" t="s">
        <v>113</v>
      </c>
      <c r="C255" s="46"/>
      <c r="D255" s="46"/>
      <c r="E255" s="46"/>
      <c r="F255" s="46"/>
      <c r="G255" s="46"/>
      <c r="H255" s="46"/>
      <c r="I255" s="46"/>
      <c r="J255" s="46"/>
      <c r="K255" s="46"/>
      <c r="L255" s="46"/>
      <c r="M255" s="46"/>
      <c r="N255" s="46"/>
      <c r="O255" s="46"/>
      <c r="P255" s="46"/>
      <c r="Q255" s="46"/>
      <c r="R255" s="46"/>
      <c r="S255" s="46"/>
      <c r="T255" s="46"/>
      <c r="U255" s="46"/>
    </row>
    <row r="256" spans="1:21">
      <c r="A256" s="335" t="s">
        <v>19</v>
      </c>
      <c r="B256" s="46"/>
      <c r="C256" s="46"/>
      <c r="D256" s="46"/>
      <c r="E256" s="46"/>
      <c r="F256" s="46"/>
      <c r="G256" s="46"/>
      <c r="H256" s="46"/>
      <c r="I256" s="46"/>
      <c r="J256" s="46"/>
      <c r="K256" s="46"/>
      <c r="L256" s="46"/>
      <c r="M256" s="46"/>
      <c r="N256" s="46"/>
      <c r="O256" s="46"/>
      <c r="P256" s="46"/>
      <c r="Q256" s="46"/>
      <c r="R256" s="46"/>
      <c r="S256" s="46"/>
      <c r="T256" s="46"/>
      <c r="U256" s="46"/>
    </row>
    <row r="257" spans="1:21">
      <c r="A257" s="336" t="s">
        <v>20</v>
      </c>
      <c r="B257" s="336" t="s">
        <v>21</v>
      </c>
      <c r="C257" s="336" t="s">
        <v>18</v>
      </c>
      <c r="D257" s="336" t="s">
        <v>22</v>
      </c>
      <c r="E257" s="336" t="s">
        <v>7</v>
      </c>
      <c r="F257" s="336" t="s">
        <v>13</v>
      </c>
      <c r="G257" s="336" t="s">
        <v>16</v>
      </c>
      <c r="H257" s="336" t="s">
        <v>23</v>
      </c>
      <c r="I257" s="336" t="s">
        <v>24</v>
      </c>
      <c r="J257" s="336" t="s">
        <v>25</v>
      </c>
      <c r="K257" s="336" t="s">
        <v>26</v>
      </c>
      <c r="L257" s="336" t="s">
        <v>27</v>
      </c>
      <c r="M257" s="336" t="s">
        <v>28</v>
      </c>
      <c r="N257" s="336" t="s">
        <v>11</v>
      </c>
      <c r="O257" s="46"/>
      <c r="P257" s="46"/>
      <c r="Q257" s="46"/>
      <c r="R257" s="46"/>
      <c r="S257" s="46"/>
      <c r="T257" s="46"/>
      <c r="U257" s="46"/>
    </row>
    <row r="258" spans="1:21">
      <c r="A258" s="46" t="s">
        <v>1041</v>
      </c>
      <c r="B258" s="407">
        <f>B259</f>
        <v>1.4E-3</v>
      </c>
      <c r="C258" s="46" t="s">
        <v>113</v>
      </c>
      <c r="D258" s="400" t="s">
        <v>2</v>
      </c>
      <c r="E258" s="46" t="s">
        <v>29</v>
      </c>
      <c r="F258" s="32" t="s">
        <v>14</v>
      </c>
      <c r="G258" s="46" t="s">
        <v>30</v>
      </c>
      <c r="H258" s="46">
        <v>1</v>
      </c>
      <c r="I258" s="407">
        <f t="shared" ref="I258:I259" si="31">B258</f>
        <v>1.4E-3</v>
      </c>
      <c r="J258" s="46" t="s">
        <v>31</v>
      </c>
      <c r="K258" s="46" t="s">
        <v>31</v>
      </c>
      <c r="L258" s="46" t="s">
        <v>31</v>
      </c>
      <c r="M258" s="46" t="s">
        <v>31</v>
      </c>
      <c r="N258" s="46"/>
      <c r="O258" s="46"/>
      <c r="P258" s="46"/>
      <c r="Q258" s="46"/>
      <c r="R258" s="46"/>
      <c r="S258" s="46"/>
      <c r="T258" s="46"/>
      <c r="U258" s="46"/>
    </row>
    <row r="259" spans="1:21">
      <c r="A259" s="46" t="s">
        <v>1045</v>
      </c>
      <c r="B259" s="407">
        <f>P259</f>
        <v>1.4E-3</v>
      </c>
      <c r="C259" s="46" t="s">
        <v>113</v>
      </c>
      <c r="D259" s="400" t="s">
        <v>2</v>
      </c>
      <c r="E259" s="46" t="s">
        <v>29</v>
      </c>
      <c r="F259" s="46" t="s">
        <v>14</v>
      </c>
      <c r="G259" s="46" t="s">
        <v>33</v>
      </c>
      <c r="H259" s="46">
        <v>1</v>
      </c>
      <c r="I259" s="407">
        <f t="shared" si="31"/>
        <v>1.4E-3</v>
      </c>
      <c r="J259" s="46" t="s">
        <v>31</v>
      </c>
      <c r="K259" s="46" t="s">
        <v>31</v>
      </c>
      <c r="L259" s="46" t="s">
        <v>31</v>
      </c>
      <c r="M259" s="46" t="s">
        <v>31</v>
      </c>
      <c r="N259" s="46"/>
      <c r="O259" s="46"/>
      <c r="P259" s="462">
        <v>1.4E-3</v>
      </c>
      <c r="Q259" s="46"/>
      <c r="R259" s="46"/>
      <c r="S259" s="46"/>
      <c r="T259" s="46"/>
      <c r="U259" s="46"/>
    </row>
    <row r="260" spans="1:21">
      <c r="A260" s="338" t="s">
        <v>75</v>
      </c>
      <c r="B260" s="342">
        <f>R260</f>
        <v>0.01</v>
      </c>
      <c r="C260" s="46" t="s">
        <v>39</v>
      </c>
      <c r="D260" s="46" t="s">
        <v>40</v>
      </c>
      <c r="E260" s="46" t="s">
        <v>29</v>
      </c>
      <c r="F260" s="32" t="s">
        <v>35</v>
      </c>
      <c r="G260" s="46" t="s">
        <v>33</v>
      </c>
      <c r="H260" s="46">
        <v>2</v>
      </c>
      <c r="I260" s="46">
        <f t="shared" ref="I260:I264" si="32">LN(B260)</f>
        <v>-4.6051701859880909</v>
      </c>
      <c r="J260" s="46">
        <v>0.20928449536456342</v>
      </c>
      <c r="K260" s="46" t="s">
        <v>31</v>
      </c>
      <c r="L260" s="46" t="s">
        <v>31</v>
      </c>
      <c r="M260" s="46" t="s">
        <v>31</v>
      </c>
      <c r="N260" s="46"/>
      <c r="O260" s="375" t="s">
        <v>216</v>
      </c>
      <c r="P260" s="406">
        <v>0.01</v>
      </c>
      <c r="Q260" s="46" t="s">
        <v>216</v>
      </c>
      <c r="R260" s="342">
        <f>P260</f>
        <v>0.01</v>
      </c>
      <c r="S260" s="46"/>
      <c r="T260" s="46"/>
      <c r="U260" s="46"/>
    </row>
    <row r="261" spans="1:21">
      <c r="A261" s="47" t="s">
        <v>791</v>
      </c>
      <c r="B261" s="46">
        <f>R261</f>
        <v>2.9999999999999997E-4</v>
      </c>
      <c r="C261" s="46" t="s">
        <v>37</v>
      </c>
      <c r="D261" s="46" t="s">
        <v>40</v>
      </c>
      <c r="E261" s="46" t="s">
        <v>29</v>
      </c>
      <c r="F261" s="32" t="s">
        <v>35</v>
      </c>
      <c r="G261" s="46" t="s">
        <v>33</v>
      </c>
      <c r="H261" s="46">
        <v>2</v>
      </c>
      <c r="I261" s="46">
        <f t="shared" si="32"/>
        <v>-8.1117280833080727</v>
      </c>
      <c r="J261" s="46">
        <v>0.20928449536456342</v>
      </c>
      <c r="K261" s="46" t="s">
        <v>31</v>
      </c>
      <c r="L261" s="46" t="s">
        <v>31</v>
      </c>
      <c r="M261" s="46" t="s">
        <v>31</v>
      </c>
      <c r="N261" s="46"/>
      <c r="O261" s="393" t="s">
        <v>575</v>
      </c>
      <c r="P261" s="406">
        <v>0.3</v>
      </c>
      <c r="Q261" s="46" t="s">
        <v>221</v>
      </c>
      <c r="R261" s="46">
        <f>0.001*P261</f>
        <v>2.9999999999999997E-4</v>
      </c>
      <c r="S261" s="46"/>
      <c r="T261" s="46"/>
      <c r="U261" s="46"/>
    </row>
    <row r="262" spans="1:21">
      <c r="A262" s="47" t="s">
        <v>546</v>
      </c>
      <c r="B262" s="46">
        <f>R262</f>
        <v>1E-4</v>
      </c>
      <c r="C262" s="46" t="s">
        <v>37</v>
      </c>
      <c r="D262" s="46" t="s">
        <v>40</v>
      </c>
      <c r="E262" s="46" t="s">
        <v>29</v>
      </c>
      <c r="F262" s="32" t="s">
        <v>58</v>
      </c>
      <c r="G262" s="46" t="s">
        <v>33</v>
      </c>
      <c r="H262" s="46">
        <v>2</v>
      </c>
      <c r="I262" s="46">
        <f t="shared" si="32"/>
        <v>-9.2103403719761818</v>
      </c>
      <c r="J262" s="46">
        <v>0.20928449536456342</v>
      </c>
      <c r="K262" s="46" t="s">
        <v>31</v>
      </c>
      <c r="L262" s="46" t="s">
        <v>31</v>
      </c>
      <c r="M262" s="46" t="s">
        <v>31</v>
      </c>
      <c r="N262" s="46"/>
      <c r="O262" s="393" t="s">
        <v>575</v>
      </c>
      <c r="P262" s="406">
        <v>0.1</v>
      </c>
      <c r="Q262" s="46" t="s">
        <v>221</v>
      </c>
      <c r="R262" s="46">
        <f>0.001*P262</f>
        <v>1E-4</v>
      </c>
      <c r="S262" s="46"/>
      <c r="T262" s="46"/>
      <c r="U262" s="46"/>
    </row>
    <row r="263" spans="1:21">
      <c r="A263" s="338" t="s">
        <v>792</v>
      </c>
      <c r="B263" s="46">
        <f>R263</f>
        <v>1.6999999999999999E-3</v>
      </c>
      <c r="C263" s="46" t="s">
        <v>37</v>
      </c>
      <c r="D263" s="46" t="s">
        <v>40</v>
      </c>
      <c r="E263" s="46" t="s">
        <v>29</v>
      </c>
      <c r="F263" s="32" t="s">
        <v>741</v>
      </c>
      <c r="G263" s="46" t="s">
        <v>33</v>
      </c>
      <c r="H263" s="46">
        <v>2</v>
      </c>
      <c r="I263" s="46">
        <f t="shared" si="32"/>
        <v>-6.3771270279199666</v>
      </c>
      <c r="J263" s="46">
        <v>0.20928449536456342</v>
      </c>
      <c r="K263" s="46" t="s">
        <v>31</v>
      </c>
      <c r="L263" s="46" t="s">
        <v>31</v>
      </c>
      <c r="M263" s="46" t="s">
        <v>31</v>
      </c>
      <c r="N263" s="46"/>
      <c r="O263" s="393" t="s">
        <v>575</v>
      </c>
      <c r="P263" s="406">
        <v>1.7</v>
      </c>
      <c r="Q263" s="46" t="s">
        <v>221</v>
      </c>
      <c r="R263" s="46">
        <f>0.001*P263</f>
        <v>1.6999999999999999E-3</v>
      </c>
      <c r="S263" s="46"/>
      <c r="T263" s="46"/>
      <c r="U263" s="46"/>
    </row>
    <row r="264" spans="1:21">
      <c r="A264" s="46" t="s">
        <v>777</v>
      </c>
      <c r="B264" s="46">
        <f>R264</f>
        <v>4.0000000000000002E-4</v>
      </c>
      <c r="C264" s="46" t="s">
        <v>37</v>
      </c>
      <c r="D264" s="400" t="s">
        <v>2</v>
      </c>
      <c r="E264" s="46" t="s">
        <v>29</v>
      </c>
      <c r="F264" s="32" t="s">
        <v>741</v>
      </c>
      <c r="G264" s="46" t="s">
        <v>33</v>
      </c>
      <c r="H264" s="46">
        <v>2</v>
      </c>
      <c r="I264" s="46">
        <f t="shared" si="32"/>
        <v>-7.8240460108562919</v>
      </c>
      <c r="J264" s="46">
        <v>0.20928449536456342</v>
      </c>
      <c r="K264" s="46" t="s">
        <v>31</v>
      </c>
      <c r="L264" s="46" t="s">
        <v>31</v>
      </c>
      <c r="M264" s="46" t="s">
        <v>31</v>
      </c>
      <c r="N264" s="46"/>
      <c r="O264" s="439" t="s">
        <v>575</v>
      </c>
      <c r="P264" s="411">
        <v>0.4</v>
      </c>
      <c r="Q264" s="46" t="s">
        <v>221</v>
      </c>
      <c r="R264" s="46">
        <f>0.001*P264</f>
        <v>4.0000000000000002E-4</v>
      </c>
      <c r="S264" s="46"/>
      <c r="T264" s="46"/>
      <c r="U264" s="46"/>
    </row>
    <row r="265" spans="1:21" s="41" customFormat="1">
      <c r="A265" s="362" t="s">
        <v>5</v>
      </c>
      <c r="B265" s="363" t="s">
        <v>1045</v>
      </c>
      <c r="C265" s="345"/>
      <c r="D265" s="345"/>
      <c r="E265" s="345"/>
      <c r="F265" s="345"/>
      <c r="G265" s="345"/>
      <c r="H265" s="345"/>
      <c r="I265" s="345"/>
      <c r="J265" s="345"/>
      <c r="K265" s="345"/>
      <c r="L265" s="345"/>
      <c r="M265" s="345"/>
      <c r="N265" s="345"/>
      <c r="O265" s="345"/>
      <c r="P265" s="345"/>
      <c r="Q265" s="345"/>
      <c r="R265" s="345"/>
      <c r="S265" s="345"/>
      <c r="T265" s="345"/>
      <c r="U265" s="345"/>
    </row>
    <row r="266" spans="1:21">
      <c r="A266" s="338" t="s">
        <v>7</v>
      </c>
      <c r="B266" s="46" t="s">
        <v>779</v>
      </c>
      <c r="C266" s="337"/>
      <c r="D266" s="46"/>
      <c r="E266" s="46"/>
      <c r="F266" s="46"/>
      <c r="G266" s="46"/>
      <c r="H266" s="46"/>
      <c r="I266" s="46"/>
      <c r="J266" s="46"/>
      <c r="K266" s="46"/>
      <c r="L266" s="46"/>
      <c r="M266" s="46"/>
      <c r="N266" s="46"/>
      <c r="O266" s="46"/>
      <c r="P266" s="46"/>
      <c r="Q266" s="46"/>
      <c r="R266" s="46"/>
      <c r="S266" s="46"/>
      <c r="T266" s="46"/>
      <c r="U266" s="46"/>
    </row>
    <row r="267" spans="1:21">
      <c r="A267" s="416" t="s">
        <v>9</v>
      </c>
      <c r="B267" s="46" t="s">
        <v>1046</v>
      </c>
      <c r="C267" s="337"/>
      <c r="D267" s="46"/>
      <c r="E267" s="46"/>
      <c r="F267" s="46"/>
      <c r="G267" s="46"/>
      <c r="H267" s="46"/>
      <c r="I267" s="46"/>
      <c r="J267" s="46"/>
      <c r="K267" s="46"/>
      <c r="L267" s="46"/>
      <c r="M267" s="46"/>
      <c r="N267" s="46"/>
      <c r="O267" s="46"/>
      <c r="P267" s="46"/>
      <c r="Q267" s="46"/>
      <c r="R267" s="46"/>
      <c r="S267" s="46"/>
      <c r="T267" s="46"/>
      <c r="U267" s="46"/>
    </row>
    <row r="268" spans="1:21" ht="15.75" customHeight="1">
      <c r="A268" s="338" t="s">
        <v>11</v>
      </c>
      <c r="B268" s="339" t="s">
        <v>789</v>
      </c>
      <c r="C268" s="46"/>
      <c r="D268" s="46"/>
      <c r="E268" s="46"/>
      <c r="F268" s="46"/>
      <c r="G268" s="46"/>
      <c r="H268" s="46"/>
      <c r="I268" s="46"/>
      <c r="J268" s="46"/>
      <c r="K268" s="46"/>
      <c r="L268" s="46"/>
      <c r="M268" s="46"/>
      <c r="N268" s="46"/>
      <c r="O268" s="46"/>
      <c r="P268" s="46"/>
      <c r="Q268" s="46"/>
      <c r="R268" s="46"/>
      <c r="S268" s="46"/>
      <c r="T268" s="46"/>
      <c r="U268" s="46"/>
    </row>
    <row r="269" spans="1:21">
      <c r="A269" s="338" t="s">
        <v>13</v>
      </c>
      <c r="B269" s="46" t="s">
        <v>14</v>
      </c>
      <c r="C269" s="46"/>
      <c r="D269" s="46"/>
      <c r="E269" s="46"/>
      <c r="F269" s="46"/>
      <c r="G269" s="46"/>
      <c r="H269" s="46"/>
      <c r="I269" s="46"/>
      <c r="J269" s="46"/>
      <c r="K269" s="46"/>
      <c r="L269" s="46"/>
      <c r="M269" s="46"/>
      <c r="N269" s="46"/>
      <c r="O269" s="46"/>
      <c r="P269" s="46"/>
      <c r="Q269" s="46"/>
      <c r="R269" s="46"/>
      <c r="S269" s="46"/>
      <c r="T269" s="46"/>
      <c r="U269" s="46"/>
    </row>
    <row r="270" spans="1:21">
      <c r="A270" s="338" t="s">
        <v>15</v>
      </c>
      <c r="B270" s="407">
        <f>B275</f>
        <v>1.4E-3</v>
      </c>
      <c r="C270" s="46"/>
      <c r="D270" s="46"/>
      <c r="E270" s="46"/>
      <c r="F270" s="46"/>
      <c r="G270" s="46"/>
      <c r="H270" s="46"/>
      <c r="I270" s="46"/>
      <c r="J270" s="46"/>
      <c r="K270" s="46"/>
      <c r="L270" s="46"/>
      <c r="M270" s="46"/>
      <c r="N270" s="46"/>
      <c r="O270" s="46"/>
      <c r="P270" s="46"/>
      <c r="Q270" s="46"/>
      <c r="R270" s="46"/>
      <c r="S270" s="46"/>
      <c r="T270" s="46"/>
      <c r="U270" s="46"/>
    </row>
    <row r="271" spans="1:21">
      <c r="A271" s="338" t="s">
        <v>16</v>
      </c>
      <c r="B271" s="46" t="s">
        <v>17</v>
      </c>
      <c r="C271" s="46"/>
      <c r="D271" s="46"/>
      <c r="E271" s="46"/>
      <c r="F271" s="46"/>
      <c r="G271" s="46"/>
      <c r="H271" s="46"/>
      <c r="I271" s="46"/>
      <c r="J271" s="46"/>
      <c r="K271" s="46"/>
      <c r="L271" s="46"/>
      <c r="M271" s="46"/>
      <c r="N271" s="46"/>
      <c r="O271" s="46"/>
      <c r="P271" s="46"/>
      <c r="Q271" s="46"/>
      <c r="R271" s="46"/>
      <c r="S271" s="46"/>
      <c r="T271" s="46"/>
      <c r="U271" s="46"/>
    </row>
    <row r="272" spans="1:21">
      <c r="A272" s="338" t="s">
        <v>18</v>
      </c>
      <c r="B272" s="46" t="s">
        <v>113</v>
      </c>
      <c r="C272" s="46"/>
      <c r="D272" s="46"/>
      <c r="E272" s="46"/>
      <c r="F272" s="46"/>
      <c r="G272" s="46"/>
      <c r="H272" s="46"/>
      <c r="I272" s="46"/>
      <c r="J272" s="46"/>
      <c r="K272" s="46"/>
      <c r="L272" s="46"/>
      <c r="M272" s="46"/>
      <c r="N272" s="46"/>
      <c r="O272" s="46"/>
      <c r="P272" s="46"/>
      <c r="Q272" s="46"/>
      <c r="R272" s="46"/>
      <c r="S272" s="46"/>
      <c r="T272" s="46"/>
      <c r="U272" s="46"/>
    </row>
    <row r="273" spans="1:21">
      <c r="A273" s="335" t="s">
        <v>19</v>
      </c>
      <c r="B273" s="46"/>
      <c r="C273" s="46"/>
      <c r="D273" s="46"/>
      <c r="E273" s="46"/>
      <c r="F273" s="46"/>
      <c r="G273" s="46"/>
      <c r="H273" s="46"/>
      <c r="I273" s="46"/>
      <c r="J273" s="46"/>
      <c r="K273" s="46"/>
      <c r="L273" s="46"/>
      <c r="M273" s="46"/>
      <c r="N273" s="46"/>
      <c r="O273" s="46"/>
      <c r="P273" s="46"/>
      <c r="Q273" s="46"/>
      <c r="R273" s="46"/>
      <c r="S273" s="46"/>
      <c r="T273" s="46"/>
      <c r="U273" s="46"/>
    </row>
    <row r="274" spans="1:21">
      <c r="A274" s="336" t="s">
        <v>20</v>
      </c>
      <c r="B274" s="336" t="s">
        <v>21</v>
      </c>
      <c r="C274" s="336" t="s">
        <v>18</v>
      </c>
      <c r="D274" s="336" t="s">
        <v>22</v>
      </c>
      <c r="E274" s="336" t="s">
        <v>7</v>
      </c>
      <c r="F274" s="336" t="s">
        <v>13</v>
      </c>
      <c r="G274" s="336" t="s">
        <v>16</v>
      </c>
      <c r="H274" s="336" t="s">
        <v>23</v>
      </c>
      <c r="I274" s="336" t="s">
        <v>24</v>
      </c>
      <c r="J274" s="336" t="s">
        <v>25</v>
      </c>
      <c r="K274" s="336" t="s">
        <v>26</v>
      </c>
      <c r="L274" s="336" t="s">
        <v>27</v>
      </c>
      <c r="M274" s="336" t="s">
        <v>28</v>
      </c>
      <c r="N274" s="336" t="s">
        <v>11</v>
      </c>
      <c r="O274" s="46"/>
      <c r="P274" s="46"/>
      <c r="Q274" s="46"/>
      <c r="R274" s="46"/>
      <c r="S274" s="46"/>
      <c r="T274" s="46"/>
      <c r="U274" s="46"/>
    </row>
    <row r="275" spans="1:21">
      <c r="A275" s="46" t="s">
        <v>1045</v>
      </c>
      <c r="B275" s="407">
        <v>1.4E-3</v>
      </c>
      <c r="C275" s="46" t="s">
        <v>113</v>
      </c>
      <c r="D275" s="400" t="s">
        <v>2</v>
      </c>
      <c r="E275" s="46" t="s">
        <v>29</v>
      </c>
      <c r="F275" s="46" t="s">
        <v>14</v>
      </c>
      <c r="G275" s="46" t="s">
        <v>30</v>
      </c>
      <c r="H275" s="46">
        <v>1</v>
      </c>
      <c r="I275" s="407">
        <f t="shared" ref="I275:I276" si="33">B275</f>
        <v>1.4E-3</v>
      </c>
      <c r="J275" s="46" t="s">
        <v>31</v>
      </c>
      <c r="K275" s="46" t="s">
        <v>31</v>
      </c>
      <c r="L275" s="46" t="s">
        <v>31</v>
      </c>
      <c r="M275" s="46" t="s">
        <v>31</v>
      </c>
      <c r="N275" s="46"/>
      <c r="O275" s="46"/>
      <c r="P275" s="46"/>
      <c r="Q275" s="46"/>
      <c r="R275" s="46"/>
      <c r="S275" s="46"/>
      <c r="T275" s="46"/>
      <c r="U275" s="46"/>
    </row>
    <row r="276" spans="1:21">
      <c r="A276" s="46" t="s">
        <v>1047</v>
      </c>
      <c r="B276" s="407">
        <f>P276</f>
        <v>1.4E-3</v>
      </c>
      <c r="C276" s="46" t="s">
        <v>113</v>
      </c>
      <c r="D276" s="400" t="s">
        <v>2</v>
      </c>
      <c r="E276" s="46" t="s">
        <v>29</v>
      </c>
      <c r="F276" s="46" t="s">
        <v>14</v>
      </c>
      <c r="G276" s="46" t="s">
        <v>33</v>
      </c>
      <c r="H276" s="46">
        <v>1</v>
      </c>
      <c r="I276" s="407">
        <f t="shared" si="33"/>
        <v>1.4E-3</v>
      </c>
      <c r="J276" s="46" t="s">
        <v>31</v>
      </c>
      <c r="K276" s="46" t="s">
        <v>31</v>
      </c>
      <c r="L276" s="46" t="s">
        <v>31</v>
      </c>
      <c r="M276" s="46" t="s">
        <v>31</v>
      </c>
      <c r="N276" s="46"/>
      <c r="O276" s="46"/>
      <c r="P276" s="462">
        <v>1.4E-3</v>
      </c>
      <c r="Q276" s="46"/>
      <c r="R276" s="46"/>
      <c r="S276" s="46"/>
      <c r="T276" s="46"/>
      <c r="U276" s="46"/>
    </row>
    <row r="277" spans="1:21">
      <c r="A277" s="338" t="s">
        <v>75</v>
      </c>
      <c r="B277" s="342">
        <f>P277</f>
        <v>0.23</v>
      </c>
      <c r="C277" s="46" t="s">
        <v>39</v>
      </c>
      <c r="D277" s="46" t="s">
        <v>40</v>
      </c>
      <c r="E277" s="46" t="s">
        <v>29</v>
      </c>
      <c r="F277" s="32" t="s">
        <v>35</v>
      </c>
      <c r="G277" s="46" t="s">
        <v>33</v>
      </c>
      <c r="H277" s="46">
        <v>2</v>
      </c>
      <c r="I277" s="46">
        <f t="shared" ref="I277:I278" si="34">LN(B277)</f>
        <v>-1.4696759700589417</v>
      </c>
      <c r="J277" s="46">
        <v>0.20928449536456342</v>
      </c>
      <c r="K277" s="46" t="s">
        <v>31</v>
      </c>
      <c r="L277" s="46" t="s">
        <v>31</v>
      </c>
      <c r="M277" s="46" t="s">
        <v>31</v>
      </c>
      <c r="N277" s="46"/>
      <c r="O277" s="393" t="s">
        <v>216</v>
      </c>
      <c r="P277" s="406">
        <f>0.16+0.07</f>
        <v>0.23</v>
      </c>
      <c r="Q277" s="46"/>
      <c r="R277" s="46"/>
      <c r="S277" s="46"/>
      <c r="T277" s="46"/>
      <c r="U277" s="46"/>
    </row>
    <row r="278" spans="1:21">
      <c r="A278" s="338" t="s">
        <v>792</v>
      </c>
      <c r="B278" s="342">
        <f>R278</f>
        <v>5.0000000000000001E-4</v>
      </c>
      <c r="C278" s="46" t="s">
        <v>37</v>
      </c>
      <c r="D278" s="46" t="s">
        <v>40</v>
      </c>
      <c r="E278" s="46" t="s">
        <v>29</v>
      </c>
      <c r="F278" s="32" t="s">
        <v>741</v>
      </c>
      <c r="G278" s="46" t="s">
        <v>33</v>
      </c>
      <c r="H278" s="46">
        <v>2</v>
      </c>
      <c r="I278" s="46">
        <f t="shared" si="34"/>
        <v>-7.6009024595420822</v>
      </c>
      <c r="J278" s="46">
        <v>0.20928449536456342</v>
      </c>
      <c r="K278" s="46" t="s">
        <v>31</v>
      </c>
      <c r="L278" s="46" t="s">
        <v>31</v>
      </c>
      <c r="M278" s="46" t="s">
        <v>31</v>
      </c>
      <c r="N278" s="46"/>
      <c r="O278" s="393" t="s">
        <v>575</v>
      </c>
      <c r="P278" s="406">
        <v>0.5</v>
      </c>
      <c r="Q278" s="46" t="s">
        <v>221</v>
      </c>
      <c r="R278" s="46">
        <f>P278*0.001</f>
        <v>5.0000000000000001E-4</v>
      </c>
      <c r="S278" s="46"/>
      <c r="T278" s="46"/>
      <c r="U278" s="46"/>
    </row>
    <row r="279" spans="1:21">
      <c r="A279" s="47" t="s">
        <v>530</v>
      </c>
      <c r="B279" s="342">
        <f t="shared" ref="B279:B280" si="35">R279</f>
        <v>5.0000000000000001E-4</v>
      </c>
      <c r="C279" s="46" t="s">
        <v>37</v>
      </c>
      <c r="D279" s="46" t="s">
        <v>40</v>
      </c>
      <c r="E279" s="46" t="s">
        <v>29</v>
      </c>
      <c r="F279" s="46" t="s">
        <v>35</v>
      </c>
      <c r="G279" s="46" t="s">
        <v>33</v>
      </c>
      <c r="H279" s="46">
        <v>2</v>
      </c>
      <c r="I279" s="46">
        <f>LN(B279)</f>
        <v>-7.6009024595420822</v>
      </c>
      <c r="J279" s="46">
        <v>0.20928449536456342</v>
      </c>
      <c r="K279" s="46" t="s">
        <v>31</v>
      </c>
      <c r="L279" s="46" t="s">
        <v>31</v>
      </c>
      <c r="M279" s="46" t="s">
        <v>31</v>
      </c>
      <c r="N279" s="46"/>
      <c r="O279" s="393" t="s">
        <v>575</v>
      </c>
      <c r="P279" s="406">
        <v>0.6</v>
      </c>
      <c r="Q279" s="46" t="s">
        <v>221</v>
      </c>
      <c r="R279" s="46">
        <f>P278*0.001</f>
        <v>5.0000000000000001E-4</v>
      </c>
      <c r="S279" s="46"/>
      <c r="T279" s="46"/>
      <c r="U279" s="46"/>
    </row>
    <row r="280" spans="1:21">
      <c r="A280" s="46" t="s">
        <v>777</v>
      </c>
      <c r="B280" s="342">
        <f t="shared" si="35"/>
        <v>5.9999999999999995E-4</v>
      </c>
      <c r="C280" s="46" t="s">
        <v>37</v>
      </c>
      <c r="D280" s="400" t="s">
        <v>2</v>
      </c>
      <c r="E280" s="46" t="s">
        <v>29</v>
      </c>
      <c r="F280" s="32" t="s">
        <v>741</v>
      </c>
      <c r="G280" s="46" t="s">
        <v>33</v>
      </c>
      <c r="H280" s="46">
        <v>2</v>
      </c>
      <c r="I280" s="46">
        <f t="shared" ref="I280" si="36">LN(B280)</f>
        <v>-7.4185809027481282</v>
      </c>
      <c r="J280" s="46">
        <v>0.20928449536456342</v>
      </c>
      <c r="K280" s="46" t="s">
        <v>31</v>
      </c>
      <c r="L280" s="46" t="s">
        <v>31</v>
      </c>
      <c r="M280" s="46" t="s">
        <v>31</v>
      </c>
      <c r="N280" s="46"/>
      <c r="O280" s="439" t="s">
        <v>575</v>
      </c>
      <c r="P280" s="411">
        <v>0.6</v>
      </c>
      <c r="Q280" s="46" t="s">
        <v>221</v>
      </c>
      <c r="R280" s="46">
        <f>0.001*P279</f>
        <v>5.9999999999999995E-4</v>
      </c>
      <c r="S280" s="46"/>
      <c r="T280" s="46"/>
      <c r="U280" s="46"/>
    </row>
    <row r="281" spans="1:21" s="41" customFormat="1">
      <c r="A281" s="362" t="s">
        <v>5</v>
      </c>
      <c r="B281" s="363" t="s">
        <v>1047</v>
      </c>
      <c r="C281" s="345"/>
      <c r="D281" s="345"/>
      <c r="E281" s="345"/>
      <c r="F281" s="345"/>
      <c r="G281" s="345"/>
      <c r="H281" s="345"/>
      <c r="I281" s="345"/>
      <c r="J281" s="345"/>
      <c r="K281" s="345"/>
      <c r="L281" s="345"/>
      <c r="M281" s="345"/>
      <c r="N281" s="345"/>
      <c r="O281" s="345"/>
      <c r="P281" s="345"/>
      <c r="Q281" s="345"/>
      <c r="R281" s="345"/>
      <c r="S281" s="345"/>
      <c r="T281" s="345"/>
      <c r="U281" s="345"/>
    </row>
    <row r="282" spans="1:21">
      <c r="A282" s="338" t="s">
        <v>7</v>
      </c>
      <c r="B282" s="46" t="s">
        <v>779</v>
      </c>
      <c r="C282" s="337"/>
      <c r="D282" s="46"/>
      <c r="E282" s="46"/>
      <c r="F282" s="46"/>
      <c r="G282" s="46"/>
      <c r="H282" s="46"/>
      <c r="I282" s="46"/>
      <c r="J282" s="46"/>
      <c r="K282" s="46"/>
      <c r="L282" s="46"/>
      <c r="M282" s="46"/>
      <c r="N282" s="46"/>
      <c r="O282" s="46"/>
      <c r="P282" s="46"/>
      <c r="Q282" s="46"/>
      <c r="R282" s="46"/>
      <c r="S282" s="46"/>
      <c r="T282" s="46"/>
      <c r="U282" s="46"/>
    </row>
    <row r="283" spans="1:21">
      <c r="A283" s="416" t="s">
        <v>9</v>
      </c>
      <c r="B283" s="46" t="s">
        <v>1048</v>
      </c>
      <c r="C283" s="337"/>
      <c r="D283" s="46"/>
      <c r="E283" s="46"/>
      <c r="F283" s="46"/>
      <c r="G283" s="46"/>
      <c r="H283" s="46"/>
      <c r="I283" s="46"/>
      <c r="J283" s="46"/>
      <c r="K283" s="46"/>
      <c r="L283" s="46"/>
      <c r="M283" s="46"/>
      <c r="N283" s="46"/>
      <c r="O283" s="46"/>
      <c r="P283" s="46"/>
      <c r="Q283" s="46"/>
      <c r="R283" s="46"/>
      <c r="S283" s="46"/>
      <c r="T283" s="46"/>
      <c r="U283" s="46"/>
    </row>
    <row r="284" spans="1:21" ht="15.75" customHeight="1">
      <c r="A284" s="338" t="s">
        <v>11</v>
      </c>
      <c r="B284" s="339" t="s">
        <v>789</v>
      </c>
      <c r="C284" s="46"/>
      <c r="D284" s="46"/>
      <c r="E284" s="46"/>
      <c r="F284" s="46"/>
      <c r="G284" s="46"/>
      <c r="H284" s="46"/>
      <c r="I284" s="46"/>
      <c r="J284" s="46"/>
      <c r="K284" s="46"/>
      <c r="L284" s="46"/>
      <c r="M284" s="46"/>
      <c r="N284" s="46"/>
      <c r="O284" s="46"/>
      <c r="P284" s="46"/>
      <c r="Q284" s="46"/>
      <c r="R284" s="46"/>
      <c r="S284" s="46"/>
      <c r="T284" s="46"/>
      <c r="U284" s="46"/>
    </row>
    <row r="285" spans="1:21">
      <c r="A285" s="338" t="s">
        <v>13</v>
      </c>
      <c r="B285" s="46" t="s">
        <v>14</v>
      </c>
      <c r="C285" s="46"/>
      <c r="D285" s="46"/>
      <c r="E285" s="46"/>
      <c r="F285" s="46"/>
      <c r="G285" s="46"/>
      <c r="H285" s="46"/>
      <c r="I285" s="46"/>
      <c r="J285" s="46"/>
      <c r="K285" s="46"/>
      <c r="L285" s="46"/>
      <c r="M285" s="46"/>
      <c r="N285" s="46"/>
      <c r="O285" s="46"/>
      <c r="P285" s="46"/>
      <c r="Q285" s="46"/>
      <c r="R285" s="46"/>
      <c r="S285" s="46"/>
      <c r="T285" s="46"/>
      <c r="U285" s="46"/>
    </row>
    <row r="286" spans="1:21">
      <c r="A286" s="338" t="s">
        <v>15</v>
      </c>
      <c r="B286" s="407">
        <f>B291</f>
        <v>2.47E-3</v>
      </c>
      <c r="C286" s="46"/>
      <c r="D286" s="46"/>
      <c r="E286" s="46"/>
      <c r="F286" s="46"/>
      <c r="G286" s="46"/>
      <c r="H286" s="46"/>
      <c r="I286" s="46"/>
      <c r="J286" s="46"/>
      <c r="K286" s="46"/>
      <c r="L286" s="46"/>
      <c r="M286" s="46"/>
      <c r="N286" s="46"/>
      <c r="O286" s="46"/>
      <c r="P286" s="46"/>
      <c r="Q286" s="46"/>
      <c r="R286" s="336" t="s">
        <v>880</v>
      </c>
      <c r="S286" s="46"/>
      <c r="T286" s="46"/>
      <c r="U286" s="46"/>
    </row>
    <row r="287" spans="1:21">
      <c r="A287" s="338" t="s">
        <v>16</v>
      </c>
      <c r="B287" s="46" t="s">
        <v>17</v>
      </c>
      <c r="C287" s="46"/>
      <c r="D287" s="46"/>
      <c r="E287" s="46"/>
      <c r="F287" s="46"/>
      <c r="G287" s="46"/>
      <c r="H287" s="46"/>
      <c r="I287" s="46"/>
      <c r="J287" s="46"/>
      <c r="K287" s="46"/>
      <c r="L287" s="46"/>
      <c r="M287" s="46"/>
      <c r="N287" s="46"/>
      <c r="O287" s="46"/>
      <c r="P287" s="46"/>
      <c r="Q287" s="46"/>
      <c r="R287" s="46" t="s">
        <v>881</v>
      </c>
      <c r="S287" s="46">
        <v>8900</v>
      </c>
      <c r="T287" s="46" t="s">
        <v>882</v>
      </c>
      <c r="U287" s="46"/>
    </row>
    <row r="288" spans="1:21">
      <c r="A288" s="338" t="s">
        <v>18</v>
      </c>
      <c r="B288" s="46" t="s">
        <v>113</v>
      </c>
      <c r="C288" s="46"/>
      <c r="D288" s="46"/>
      <c r="E288" s="46"/>
      <c r="F288" s="46"/>
      <c r="G288" s="46"/>
      <c r="H288" s="46"/>
      <c r="I288" s="46"/>
      <c r="J288" s="46"/>
      <c r="K288" s="46"/>
      <c r="L288" s="46"/>
      <c r="M288" s="46"/>
      <c r="N288" s="46"/>
      <c r="O288" s="46"/>
      <c r="P288" s="46"/>
      <c r="Q288" s="46"/>
      <c r="R288" s="46" t="s">
        <v>883</v>
      </c>
      <c r="S288" s="46">
        <f>5*10^-6</f>
        <v>4.9999999999999996E-6</v>
      </c>
      <c r="T288" s="46" t="s">
        <v>884</v>
      </c>
      <c r="U288" s="46"/>
    </row>
    <row r="289" spans="1:21">
      <c r="A289" s="335" t="s">
        <v>19</v>
      </c>
      <c r="B289" s="46"/>
      <c r="C289" s="46"/>
      <c r="D289" s="46"/>
      <c r="E289" s="46"/>
      <c r="F289" s="46"/>
      <c r="G289" s="46"/>
      <c r="H289" s="46"/>
      <c r="I289" s="46"/>
      <c r="J289" s="46"/>
      <c r="K289" s="46"/>
      <c r="L289" s="46"/>
      <c r="M289" s="46"/>
      <c r="N289" s="46"/>
      <c r="O289" s="46"/>
      <c r="P289" s="46"/>
      <c r="Q289" s="46"/>
      <c r="R289" s="419" t="s">
        <v>885</v>
      </c>
      <c r="S289" s="420">
        <f>S288*S287</f>
        <v>4.4499999999999998E-2</v>
      </c>
      <c r="T289" s="421" t="s">
        <v>886</v>
      </c>
      <c r="U289" s="46"/>
    </row>
    <row r="290" spans="1:21">
      <c r="A290" s="336" t="s">
        <v>20</v>
      </c>
      <c r="B290" s="336" t="s">
        <v>21</v>
      </c>
      <c r="C290" s="336" t="s">
        <v>18</v>
      </c>
      <c r="D290" s="336" t="s">
        <v>22</v>
      </c>
      <c r="E290" s="336" t="s">
        <v>7</v>
      </c>
      <c r="F290" s="336" t="s">
        <v>13</v>
      </c>
      <c r="G290" s="336" t="s">
        <v>16</v>
      </c>
      <c r="H290" s="336" t="s">
        <v>23</v>
      </c>
      <c r="I290" s="336" t="s">
        <v>24</v>
      </c>
      <c r="J290" s="336" t="s">
        <v>25</v>
      </c>
      <c r="K290" s="336" t="s">
        <v>26</v>
      </c>
      <c r="L290" s="336" t="s">
        <v>27</v>
      </c>
      <c r="M290" s="336" t="s">
        <v>28</v>
      </c>
      <c r="N290" s="336" t="s">
        <v>11</v>
      </c>
      <c r="O290" s="46"/>
      <c r="P290" s="46"/>
      <c r="Q290" s="46"/>
      <c r="R290" s="46"/>
      <c r="S290" s="46"/>
      <c r="T290" s="46"/>
      <c r="U290" s="46"/>
    </row>
    <row r="291" spans="1:21">
      <c r="A291" s="46" t="s">
        <v>1047</v>
      </c>
      <c r="B291" s="447">
        <v>2.47E-3</v>
      </c>
      <c r="C291" s="46" t="s">
        <v>113</v>
      </c>
      <c r="D291" s="400" t="s">
        <v>2</v>
      </c>
      <c r="E291" s="46" t="s">
        <v>29</v>
      </c>
      <c r="F291" s="46" t="s">
        <v>14</v>
      </c>
      <c r="G291" s="46" t="s">
        <v>30</v>
      </c>
      <c r="H291" s="46">
        <v>1</v>
      </c>
      <c r="I291" s="407">
        <f t="shared" ref="I291:I293" si="37">B291</f>
        <v>2.47E-3</v>
      </c>
      <c r="J291" s="46" t="s">
        <v>31</v>
      </c>
      <c r="K291" s="46" t="s">
        <v>31</v>
      </c>
      <c r="L291" s="46" t="s">
        <v>31</v>
      </c>
      <c r="M291" s="46" t="s">
        <v>31</v>
      </c>
      <c r="N291" s="46"/>
      <c r="O291" s="393" t="s">
        <v>887</v>
      </c>
      <c r="P291" s="406">
        <f>B291*100</f>
        <v>0.247</v>
      </c>
      <c r="Q291" s="46"/>
      <c r="R291" s="46" t="s">
        <v>548</v>
      </c>
      <c r="S291" s="46"/>
      <c r="T291" s="46"/>
      <c r="U291" s="402"/>
    </row>
    <row r="292" spans="1:21">
      <c r="A292" s="46" t="s">
        <v>1049</v>
      </c>
      <c r="B292" s="447">
        <v>2.47E-3</v>
      </c>
      <c r="C292" s="46" t="s">
        <v>113</v>
      </c>
      <c r="D292" s="400" t="s">
        <v>2</v>
      </c>
      <c r="E292" s="46" t="s">
        <v>29</v>
      </c>
      <c r="F292" s="46" t="s">
        <v>14</v>
      </c>
      <c r="G292" s="46" t="s">
        <v>33</v>
      </c>
      <c r="H292" s="46">
        <v>1</v>
      </c>
      <c r="I292" s="407">
        <f t="shared" si="37"/>
        <v>2.47E-3</v>
      </c>
      <c r="J292" s="46">
        <v>7.2284161474004766E-2</v>
      </c>
      <c r="K292" s="46" t="s">
        <v>31</v>
      </c>
      <c r="L292" s="46" t="s">
        <v>31</v>
      </c>
      <c r="M292" s="46" t="s">
        <v>31</v>
      </c>
      <c r="N292" s="46"/>
      <c r="O292" s="393" t="s">
        <v>887</v>
      </c>
      <c r="P292" s="406">
        <f>B292*100</f>
        <v>0.247</v>
      </c>
      <c r="Q292" s="46"/>
      <c r="R292" s="422">
        <v>0.1</v>
      </c>
      <c r="S292" s="423" t="s">
        <v>605</v>
      </c>
      <c r="T292" s="422">
        <f>R292*S289</f>
        <v>4.45E-3</v>
      </c>
      <c r="U292" s="423" t="s">
        <v>221</v>
      </c>
    </row>
    <row r="293" spans="1:21">
      <c r="A293" s="62" t="s">
        <v>990</v>
      </c>
      <c r="B293" s="412">
        <f>T292</f>
        <v>4.45E-3</v>
      </c>
      <c r="C293" s="46" t="s">
        <v>37</v>
      </c>
      <c r="D293" s="400" t="s">
        <v>2</v>
      </c>
      <c r="E293" s="46" t="s">
        <v>29</v>
      </c>
      <c r="F293" s="32" t="s">
        <v>14</v>
      </c>
      <c r="G293" s="46" t="s">
        <v>33</v>
      </c>
      <c r="H293" s="46">
        <v>1</v>
      </c>
      <c r="I293" s="407">
        <f t="shared" si="37"/>
        <v>4.45E-3</v>
      </c>
      <c r="J293" s="46">
        <v>7.2284161474004766E-2</v>
      </c>
      <c r="K293" s="46" t="s">
        <v>31</v>
      </c>
      <c r="L293" s="46" t="s">
        <v>31</v>
      </c>
      <c r="M293" s="46" t="s">
        <v>31</v>
      </c>
      <c r="N293" s="46"/>
      <c r="O293" s="424"/>
      <c r="P293" s="425"/>
      <c r="Q293" s="46"/>
      <c r="R293" s="46"/>
      <c r="S293" s="46"/>
      <c r="T293" s="46"/>
      <c r="U293" s="46"/>
    </row>
    <row r="294" spans="1:21">
      <c r="A294" s="338" t="s">
        <v>792</v>
      </c>
      <c r="B294" s="46">
        <f>P294</f>
        <v>0.8</v>
      </c>
      <c r="C294" s="46" t="s">
        <v>37</v>
      </c>
      <c r="D294" s="46" t="s">
        <v>40</v>
      </c>
      <c r="E294" s="46" t="s">
        <v>29</v>
      </c>
      <c r="F294" s="32" t="s">
        <v>741</v>
      </c>
      <c r="G294" s="46" t="s">
        <v>33</v>
      </c>
      <c r="H294" s="46">
        <v>2</v>
      </c>
      <c r="I294" s="46">
        <f t="shared" ref="I294" si="38">LN(B294)</f>
        <v>-0.22314355131420971</v>
      </c>
      <c r="J294" s="46">
        <v>7.2284161474004766E-2</v>
      </c>
      <c r="K294" s="46" t="s">
        <v>31</v>
      </c>
      <c r="L294" s="46" t="s">
        <v>31</v>
      </c>
      <c r="M294" s="46" t="s">
        <v>31</v>
      </c>
      <c r="N294" s="46"/>
      <c r="O294" s="393" t="s">
        <v>221</v>
      </c>
      <c r="P294" s="406">
        <v>0.8</v>
      </c>
      <c r="Q294" s="46"/>
      <c r="R294" s="46"/>
      <c r="S294" s="46"/>
      <c r="T294" s="46"/>
      <c r="U294" s="46"/>
    </row>
    <row r="295" spans="1:21">
      <c r="A295" s="47" t="s">
        <v>869</v>
      </c>
      <c r="B295" s="342">
        <f>R295</f>
        <v>1E-8</v>
      </c>
      <c r="C295" s="46" t="s">
        <v>37</v>
      </c>
      <c r="D295" s="46" t="s">
        <v>40</v>
      </c>
      <c r="E295" s="46" t="s">
        <v>29</v>
      </c>
      <c r="F295" s="32" t="s">
        <v>58</v>
      </c>
      <c r="G295" s="46" t="s">
        <v>33</v>
      </c>
      <c r="H295" s="46">
        <v>2</v>
      </c>
      <c r="I295" s="46">
        <f>LN(B295)</f>
        <v>-18.420680743952367</v>
      </c>
      <c r="J295" s="46">
        <v>7.2284161474004766E-2</v>
      </c>
      <c r="K295" s="46" t="s">
        <v>31</v>
      </c>
      <c r="L295" s="46" t="s">
        <v>31</v>
      </c>
      <c r="M295" s="46" t="s">
        <v>31</v>
      </c>
      <c r="N295" s="46"/>
      <c r="O295" s="408" t="s">
        <v>523</v>
      </c>
      <c r="P295" s="431">
        <v>1.0000000000000001E-5</v>
      </c>
      <c r="Q295" s="393" t="s">
        <v>221</v>
      </c>
      <c r="R295" s="46">
        <f>P295*0.001</f>
        <v>1E-8</v>
      </c>
      <c r="S295" s="46"/>
      <c r="T295" s="46"/>
      <c r="U295" s="46"/>
    </row>
    <row r="296" spans="1:21">
      <c r="A296" s="47" t="s">
        <v>226</v>
      </c>
      <c r="B296" s="46">
        <f>R296</f>
        <v>8.0000000000000004E-4</v>
      </c>
      <c r="C296" s="46" t="s">
        <v>42</v>
      </c>
      <c r="D296" s="46" t="s">
        <v>40</v>
      </c>
      <c r="E296" s="46" t="s">
        <v>29</v>
      </c>
      <c r="F296" s="32" t="s">
        <v>741</v>
      </c>
      <c r="G296" s="46" t="s">
        <v>33</v>
      </c>
      <c r="H296" s="46">
        <v>2</v>
      </c>
      <c r="I296" s="46">
        <f t="shared" ref="I296" si="39">LN(B296)</f>
        <v>-7.1308988302963465</v>
      </c>
      <c r="J296" s="46">
        <v>7.2284161474004766E-2</v>
      </c>
      <c r="K296" s="46" t="s">
        <v>31</v>
      </c>
      <c r="L296" s="46" t="s">
        <v>31</v>
      </c>
      <c r="M296" s="46" t="s">
        <v>31</v>
      </c>
      <c r="N296" s="46"/>
      <c r="O296" s="410" t="s">
        <v>858</v>
      </c>
      <c r="P296" s="411">
        <v>0.8</v>
      </c>
      <c r="Q296" s="46" t="s">
        <v>219</v>
      </c>
      <c r="R296" s="46">
        <f>P296*0.001</f>
        <v>8.0000000000000004E-4</v>
      </c>
      <c r="S296" s="46"/>
      <c r="T296" s="46"/>
      <c r="U296" s="46"/>
    </row>
    <row r="297" spans="1:21" s="41" customFormat="1">
      <c r="A297" s="362" t="s">
        <v>5</v>
      </c>
      <c r="B297" s="363" t="s">
        <v>1049</v>
      </c>
      <c r="C297" s="345"/>
      <c r="D297" s="345"/>
      <c r="E297" s="345"/>
      <c r="F297" s="345"/>
      <c r="G297" s="345"/>
      <c r="H297" s="345"/>
      <c r="I297" s="345"/>
      <c r="J297" s="345"/>
      <c r="K297" s="345"/>
      <c r="L297" s="345"/>
      <c r="M297" s="345"/>
      <c r="N297" s="345"/>
      <c r="O297" s="345"/>
      <c r="P297" s="345"/>
      <c r="Q297" s="345"/>
      <c r="R297" s="345"/>
      <c r="S297" s="345"/>
      <c r="T297" s="345"/>
      <c r="U297" s="345"/>
    </row>
    <row r="298" spans="1:21">
      <c r="A298" s="338" t="s">
        <v>7</v>
      </c>
      <c r="B298" s="46" t="s">
        <v>779</v>
      </c>
      <c r="C298" s="337"/>
      <c r="D298" s="46"/>
      <c r="E298" s="46"/>
      <c r="F298" s="46"/>
      <c r="G298" s="46"/>
      <c r="H298" s="46"/>
      <c r="I298" s="46"/>
      <c r="J298" s="46"/>
      <c r="K298" s="46"/>
      <c r="L298" s="46"/>
      <c r="M298" s="46"/>
      <c r="N298" s="46"/>
      <c r="O298" s="46"/>
      <c r="P298" s="46"/>
      <c r="Q298" s="46"/>
      <c r="R298" s="46"/>
      <c r="S298" s="46"/>
      <c r="T298" s="46"/>
      <c r="U298" s="46"/>
    </row>
    <row r="299" spans="1:21">
      <c r="A299" s="416" t="s">
        <v>9</v>
      </c>
      <c r="B299" s="46" t="s">
        <v>1050</v>
      </c>
      <c r="C299" s="337"/>
      <c r="D299" s="46"/>
      <c r="E299" s="46"/>
      <c r="F299" s="46"/>
      <c r="G299" s="46"/>
      <c r="H299" s="46"/>
      <c r="I299" s="46"/>
      <c r="J299" s="46"/>
      <c r="K299" s="46"/>
      <c r="L299" s="46"/>
      <c r="M299" s="46"/>
      <c r="N299" s="46"/>
      <c r="O299" s="46"/>
      <c r="P299" s="46"/>
      <c r="Q299" s="46"/>
      <c r="R299" s="46"/>
      <c r="S299" s="46"/>
      <c r="T299" s="46"/>
      <c r="U299" s="46"/>
    </row>
    <row r="300" spans="1:21" ht="15.75" customHeight="1">
      <c r="A300" s="338" t="s">
        <v>11</v>
      </c>
      <c r="B300" s="339" t="s">
        <v>789</v>
      </c>
      <c r="C300" s="46"/>
      <c r="D300" s="46"/>
      <c r="E300" s="46"/>
      <c r="F300" s="46"/>
      <c r="G300" s="46"/>
      <c r="H300" s="46"/>
      <c r="I300" s="46"/>
      <c r="J300" s="46"/>
      <c r="K300" s="46"/>
      <c r="L300" s="46"/>
      <c r="M300" s="46"/>
      <c r="N300" s="46"/>
      <c r="O300" s="46"/>
      <c r="P300" s="46"/>
      <c r="Q300" s="46"/>
      <c r="R300" s="46"/>
      <c r="S300" s="46"/>
      <c r="T300" s="46"/>
      <c r="U300" s="46"/>
    </row>
    <row r="301" spans="1:21">
      <c r="A301" s="338" t="s">
        <v>13</v>
      </c>
      <c r="B301" s="46" t="s">
        <v>14</v>
      </c>
      <c r="C301" s="46"/>
      <c r="D301" s="46"/>
      <c r="E301" s="46"/>
      <c r="F301" s="46"/>
      <c r="G301" s="46"/>
      <c r="H301" s="46"/>
      <c r="I301" s="46"/>
      <c r="J301" s="46"/>
      <c r="K301" s="46"/>
      <c r="L301" s="46"/>
      <c r="M301" s="46"/>
      <c r="N301" s="46"/>
      <c r="O301" s="46"/>
      <c r="P301" s="46"/>
      <c r="Q301" s="46"/>
      <c r="R301" s="46"/>
      <c r="S301" s="46"/>
      <c r="T301" s="46"/>
      <c r="U301" s="46"/>
    </row>
    <row r="302" spans="1:21">
      <c r="A302" s="338" t="s">
        <v>15</v>
      </c>
      <c r="B302" s="407">
        <f>B307</f>
        <v>1.4E-3</v>
      </c>
      <c r="C302" s="46"/>
      <c r="D302" s="46"/>
      <c r="E302" s="46"/>
      <c r="F302" s="46"/>
      <c r="G302" s="46"/>
      <c r="H302" s="46"/>
      <c r="I302" s="46"/>
      <c r="J302" s="46"/>
      <c r="K302" s="46"/>
      <c r="L302" s="46"/>
      <c r="M302" s="46"/>
      <c r="N302" s="46"/>
      <c r="O302" s="46"/>
      <c r="P302" s="46"/>
      <c r="Q302" s="46"/>
      <c r="R302" s="46"/>
      <c r="S302" s="46"/>
      <c r="T302" s="46"/>
      <c r="U302" s="46"/>
    </row>
    <row r="303" spans="1:21">
      <c r="A303" s="338" t="s">
        <v>16</v>
      </c>
      <c r="B303" s="46" t="s">
        <v>17</v>
      </c>
      <c r="C303" s="46"/>
      <c r="D303" s="46"/>
      <c r="E303" s="46"/>
      <c r="F303" s="46"/>
      <c r="G303" s="46"/>
      <c r="H303" s="46"/>
      <c r="I303" s="46"/>
      <c r="J303" s="46"/>
      <c r="K303" s="46"/>
      <c r="L303" s="46"/>
      <c r="M303" s="46"/>
      <c r="N303" s="46"/>
      <c r="O303" s="46"/>
      <c r="P303" s="46"/>
      <c r="Q303" s="46"/>
      <c r="R303" s="46"/>
      <c r="S303" s="46"/>
      <c r="T303" s="46"/>
      <c r="U303" s="46"/>
    </row>
    <row r="304" spans="1:21">
      <c r="A304" s="338" t="s">
        <v>18</v>
      </c>
      <c r="B304" s="46" t="s">
        <v>113</v>
      </c>
      <c r="C304" s="46"/>
      <c r="D304" s="46"/>
      <c r="E304" s="46"/>
      <c r="F304" s="46"/>
      <c r="G304" s="46"/>
      <c r="H304" s="46"/>
      <c r="I304" s="46"/>
      <c r="J304" s="46"/>
      <c r="K304" s="46"/>
      <c r="L304" s="46"/>
      <c r="M304" s="46"/>
      <c r="N304" s="46"/>
      <c r="O304" s="46"/>
      <c r="P304" s="46"/>
      <c r="Q304" s="46"/>
      <c r="R304" s="46"/>
      <c r="S304" s="46"/>
      <c r="T304" s="46"/>
      <c r="U304" s="46"/>
    </row>
    <row r="305" spans="1:21">
      <c r="A305" s="335" t="s">
        <v>19</v>
      </c>
      <c r="B305" s="46"/>
      <c r="C305" s="46"/>
      <c r="D305" s="46"/>
      <c r="E305" s="46"/>
      <c r="F305" s="46"/>
      <c r="G305" s="46"/>
      <c r="H305" s="46"/>
      <c r="I305" s="46"/>
      <c r="J305" s="46"/>
      <c r="K305" s="46"/>
      <c r="L305" s="46"/>
      <c r="M305" s="46"/>
      <c r="N305" s="46"/>
      <c r="O305" s="46"/>
      <c r="P305" s="46"/>
      <c r="Q305" s="46"/>
      <c r="R305" s="46"/>
      <c r="S305" s="46"/>
      <c r="T305" s="46"/>
      <c r="U305" s="46"/>
    </row>
    <row r="306" spans="1:21">
      <c r="A306" s="336" t="s">
        <v>20</v>
      </c>
      <c r="B306" s="336" t="s">
        <v>21</v>
      </c>
      <c r="C306" s="336" t="s">
        <v>18</v>
      </c>
      <c r="D306" s="336" t="s">
        <v>22</v>
      </c>
      <c r="E306" s="336" t="s">
        <v>7</v>
      </c>
      <c r="F306" s="336" t="s">
        <v>13</v>
      </c>
      <c r="G306" s="336" t="s">
        <v>16</v>
      </c>
      <c r="H306" s="336" t="s">
        <v>23</v>
      </c>
      <c r="I306" s="336" t="s">
        <v>24</v>
      </c>
      <c r="J306" s="336" t="s">
        <v>25</v>
      </c>
      <c r="K306" s="336" t="s">
        <v>26</v>
      </c>
      <c r="L306" s="336" t="s">
        <v>27</v>
      </c>
      <c r="M306" s="336" t="s">
        <v>28</v>
      </c>
      <c r="N306" s="336" t="s">
        <v>11</v>
      </c>
      <c r="O306" s="46"/>
      <c r="P306" s="46"/>
      <c r="Q306" s="46"/>
      <c r="R306" s="46"/>
      <c r="S306" s="46"/>
      <c r="T306" s="407"/>
      <c r="U306" s="46"/>
    </row>
    <row r="307" spans="1:21">
      <c r="A307" s="46" t="s">
        <v>1049</v>
      </c>
      <c r="B307" s="407">
        <f t="shared" ref="B307:B317" si="40">P307</f>
        <v>1.4E-3</v>
      </c>
      <c r="C307" s="46" t="s">
        <v>113</v>
      </c>
      <c r="D307" s="400" t="s">
        <v>2</v>
      </c>
      <c r="E307" s="46" t="s">
        <v>29</v>
      </c>
      <c r="F307" s="46" t="s">
        <v>14</v>
      </c>
      <c r="G307" s="46" t="s">
        <v>30</v>
      </c>
      <c r="H307" s="46">
        <v>1</v>
      </c>
      <c r="I307" s="407">
        <f t="shared" ref="I307:I308" si="41">B307</f>
        <v>1.4E-3</v>
      </c>
      <c r="J307" s="46" t="s">
        <v>31</v>
      </c>
      <c r="K307" s="46" t="s">
        <v>31</v>
      </c>
      <c r="L307" s="46" t="s">
        <v>31</v>
      </c>
      <c r="M307" s="46" t="s">
        <v>31</v>
      </c>
      <c r="N307" s="46"/>
      <c r="O307" s="46"/>
      <c r="P307" s="461">
        <v>1.4E-3</v>
      </c>
      <c r="Q307" s="46"/>
      <c r="R307" s="46"/>
      <c r="S307" s="46"/>
      <c r="T307" s="46"/>
      <c r="U307" s="46"/>
    </row>
    <row r="308" spans="1:21">
      <c r="A308" s="46" t="s">
        <v>1051</v>
      </c>
      <c r="B308" s="407">
        <f t="shared" si="40"/>
        <v>1.4E-3</v>
      </c>
      <c r="C308" s="46" t="s">
        <v>113</v>
      </c>
      <c r="D308" s="400" t="s">
        <v>2</v>
      </c>
      <c r="E308" s="46" t="s">
        <v>29</v>
      </c>
      <c r="F308" s="46" t="s">
        <v>14</v>
      </c>
      <c r="G308" s="46" t="s">
        <v>33</v>
      </c>
      <c r="H308" s="46">
        <v>1</v>
      </c>
      <c r="I308" s="407">
        <f t="shared" si="41"/>
        <v>1.4E-3</v>
      </c>
      <c r="J308" s="46" t="s">
        <v>31</v>
      </c>
      <c r="K308" s="46" t="s">
        <v>31</v>
      </c>
      <c r="L308" s="46" t="s">
        <v>31</v>
      </c>
      <c r="M308" s="46" t="s">
        <v>31</v>
      </c>
      <c r="N308" s="46"/>
      <c r="O308" s="46"/>
      <c r="P308" s="446">
        <v>1.4E-3</v>
      </c>
      <c r="Q308" s="46"/>
      <c r="R308" s="46"/>
      <c r="S308" s="46"/>
      <c r="T308" s="46"/>
      <c r="U308" s="46"/>
    </row>
    <row r="309" spans="1:21">
      <c r="A309" s="338" t="s">
        <v>75</v>
      </c>
      <c r="B309" s="342">
        <f t="shared" si="40"/>
        <v>1.7999999999999999E-2</v>
      </c>
      <c r="C309" s="46" t="s">
        <v>39</v>
      </c>
      <c r="D309" s="46" t="s">
        <v>40</v>
      </c>
      <c r="E309" s="46" t="s">
        <v>29</v>
      </c>
      <c r="F309" s="32" t="s">
        <v>35</v>
      </c>
      <c r="G309" s="46" t="s">
        <v>33</v>
      </c>
      <c r="H309" s="46">
        <v>2</v>
      </c>
      <c r="I309" s="46">
        <f t="shared" ref="I309" si="42">LN(B309)</f>
        <v>-4.0173835210859723</v>
      </c>
      <c r="J309" s="46">
        <v>0.22500000000000006</v>
      </c>
      <c r="K309" s="46" t="s">
        <v>31</v>
      </c>
      <c r="L309" s="46" t="s">
        <v>31</v>
      </c>
      <c r="M309" s="46" t="s">
        <v>31</v>
      </c>
      <c r="N309" s="46"/>
      <c r="O309" s="393" t="s">
        <v>216</v>
      </c>
      <c r="P309" s="406">
        <v>1.7999999999999999E-2</v>
      </c>
      <c r="Q309" s="46"/>
      <c r="R309" s="46"/>
      <c r="S309" s="46"/>
      <c r="T309" s="46"/>
      <c r="U309" s="46"/>
    </row>
    <row r="310" spans="1:21">
      <c r="A310" s="47" t="s">
        <v>683</v>
      </c>
      <c r="B310" s="407">
        <f t="shared" si="40"/>
        <v>8.0000000000000004E-4</v>
      </c>
      <c r="C310" s="46" t="s">
        <v>37</v>
      </c>
      <c r="D310" s="46" t="s">
        <v>40</v>
      </c>
      <c r="E310" s="46" t="s">
        <v>29</v>
      </c>
      <c r="F310" s="46" t="s">
        <v>35</v>
      </c>
      <c r="G310" s="46" t="s">
        <v>33</v>
      </c>
      <c r="H310" s="46">
        <v>2</v>
      </c>
      <c r="I310" s="46">
        <f>LN(B310)</f>
        <v>-7.1308988302963465</v>
      </c>
      <c r="J310" s="46">
        <v>0.22500000000000006</v>
      </c>
      <c r="K310" s="46" t="s">
        <v>31</v>
      </c>
      <c r="L310" s="46" t="s">
        <v>31</v>
      </c>
      <c r="M310" s="46" t="s">
        <v>31</v>
      </c>
      <c r="N310" s="46"/>
      <c r="O310" s="393" t="s">
        <v>221</v>
      </c>
      <c r="P310" s="444">
        <v>8.0000000000000004E-4</v>
      </c>
      <c r="Q310" s="46"/>
      <c r="R310" s="46"/>
      <c r="S310" s="46"/>
      <c r="T310" s="46"/>
      <c r="U310" s="46"/>
    </row>
    <row r="311" spans="1:21">
      <c r="A311" s="46" t="s">
        <v>952</v>
      </c>
      <c r="B311" s="407">
        <f t="shared" si="40"/>
        <v>1.8E-3</v>
      </c>
      <c r="C311" s="46" t="s">
        <v>37</v>
      </c>
      <c r="D311" s="46" t="s">
        <v>40</v>
      </c>
      <c r="E311" s="46" t="s">
        <v>29</v>
      </c>
      <c r="F311" s="46" t="s">
        <v>58</v>
      </c>
      <c r="G311" s="46" t="s">
        <v>33</v>
      </c>
      <c r="H311" s="46">
        <v>2</v>
      </c>
      <c r="I311" s="46">
        <f t="shared" ref="I311:I317" si="43">LN(B311)</f>
        <v>-6.3199686140800182</v>
      </c>
      <c r="J311" s="46">
        <v>0.22500000000000006</v>
      </c>
      <c r="K311" s="46" t="s">
        <v>31</v>
      </c>
      <c r="L311" s="46" t="s">
        <v>31</v>
      </c>
      <c r="M311" s="46" t="s">
        <v>31</v>
      </c>
      <c r="N311" s="46"/>
      <c r="O311" s="393" t="s">
        <v>221</v>
      </c>
      <c r="P311" s="444">
        <v>1.8E-3</v>
      </c>
      <c r="Q311" s="46"/>
      <c r="R311" s="46"/>
      <c r="S311" s="46"/>
      <c r="T311" s="46"/>
      <c r="U311" s="46"/>
    </row>
    <row r="312" spans="1:21">
      <c r="A312" s="47" t="s">
        <v>530</v>
      </c>
      <c r="B312" s="407">
        <f t="shared" si="40"/>
        <v>8.0000000000000004E-4</v>
      </c>
      <c r="C312" s="46" t="s">
        <v>37</v>
      </c>
      <c r="D312" s="46" t="s">
        <v>40</v>
      </c>
      <c r="E312" s="46" t="s">
        <v>29</v>
      </c>
      <c r="F312" s="46" t="s">
        <v>35</v>
      </c>
      <c r="G312" s="46" t="s">
        <v>33</v>
      </c>
      <c r="H312" s="46">
        <v>2</v>
      </c>
      <c r="I312" s="46">
        <f t="shared" si="43"/>
        <v>-7.1308988302963465</v>
      </c>
      <c r="J312" s="46">
        <v>0.22500000000000006</v>
      </c>
      <c r="K312" s="46" t="s">
        <v>31</v>
      </c>
      <c r="L312" s="46" t="s">
        <v>31</v>
      </c>
      <c r="M312" s="46" t="s">
        <v>31</v>
      </c>
      <c r="N312" s="46"/>
      <c r="O312" s="393" t="s">
        <v>221</v>
      </c>
      <c r="P312" s="444">
        <v>8.0000000000000004E-4</v>
      </c>
      <c r="Q312" s="46"/>
      <c r="R312" s="46"/>
      <c r="S312" s="46"/>
      <c r="T312" s="46"/>
      <c r="U312" s="46"/>
    </row>
    <row r="313" spans="1:21">
      <c r="A313" s="47" t="s">
        <v>953</v>
      </c>
      <c r="B313" s="407">
        <f t="shared" si="40"/>
        <v>5.9999999999999995E-4</v>
      </c>
      <c r="C313" s="46" t="s">
        <v>37</v>
      </c>
      <c r="D313" s="46" t="s">
        <v>40</v>
      </c>
      <c r="E313" s="46" t="s">
        <v>29</v>
      </c>
      <c r="F313" s="46" t="s">
        <v>58</v>
      </c>
      <c r="G313" s="46" t="s">
        <v>33</v>
      </c>
      <c r="H313" s="46">
        <v>2</v>
      </c>
      <c r="I313" s="46">
        <f t="shared" si="43"/>
        <v>-7.4185809027481282</v>
      </c>
      <c r="J313" s="46">
        <v>0.22500000000000006</v>
      </c>
      <c r="K313" s="46" t="s">
        <v>31</v>
      </c>
      <c r="L313" s="46" t="s">
        <v>31</v>
      </c>
      <c r="M313" s="46" t="s">
        <v>31</v>
      </c>
      <c r="N313" s="46"/>
      <c r="O313" s="393" t="s">
        <v>221</v>
      </c>
      <c r="P313" s="444">
        <v>5.9999999999999995E-4</v>
      </c>
      <c r="Q313" s="46"/>
      <c r="R313" s="46"/>
      <c r="S313" s="46"/>
      <c r="T313" s="46"/>
      <c r="U313" s="46"/>
    </row>
    <row r="314" spans="1:21">
      <c r="A314" s="47" t="s">
        <v>954</v>
      </c>
      <c r="B314" s="407">
        <f t="shared" si="40"/>
        <v>1.8E-3</v>
      </c>
      <c r="C314" s="46" t="s">
        <v>37</v>
      </c>
      <c r="D314" s="46" t="s">
        <v>40</v>
      </c>
      <c r="E314" s="46" t="s">
        <v>29</v>
      </c>
      <c r="F314" s="46" t="s">
        <v>58</v>
      </c>
      <c r="G314" s="46" t="s">
        <v>33</v>
      </c>
      <c r="H314" s="46">
        <v>2</v>
      </c>
      <c r="I314" s="46">
        <f t="shared" si="43"/>
        <v>-6.3199686140800182</v>
      </c>
      <c r="J314" s="46">
        <v>0.22500000000000006</v>
      </c>
      <c r="K314" s="46" t="s">
        <v>31</v>
      </c>
      <c r="L314" s="46" t="s">
        <v>31</v>
      </c>
      <c r="M314" s="46" t="s">
        <v>31</v>
      </c>
      <c r="N314" s="46"/>
      <c r="O314" s="393" t="s">
        <v>221</v>
      </c>
      <c r="P314" s="444">
        <v>1.8E-3</v>
      </c>
      <c r="Q314" s="46"/>
      <c r="R314" s="46"/>
      <c r="S314" s="46"/>
      <c r="T314" s="46"/>
      <c r="U314" s="46"/>
    </row>
    <row r="315" spans="1:21">
      <c r="A315" s="338" t="s">
        <v>792</v>
      </c>
      <c r="B315" s="407">
        <f t="shared" si="40"/>
        <v>3.2599999999999997E-2</v>
      </c>
      <c r="C315" s="46" t="s">
        <v>37</v>
      </c>
      <c r="D315" s="46" t="s">
        <v>40</v>
      </c>
      <c r="E315" s="46" t="s">
        <v>29</v>
      </c>
      <c r="F315" s="32" t="s">
        <v>741</v>
      </c>
      <c r="G315" s="46" t="s">
        <v>33</v>
      </c>
      <c r="H315" s="46">
        <v>2</v>
      </c>
      <c r="I315" s="46">
        <f t="shared" si="43"/>
        <v>-3.423442990609475</v>
      </c>
      <c r="J315" s="46">
        <v>0.22500000000000006</v>
      </c>
      <c r="K315" s="46" t="s">
        <v>31</v>
      </c>
      <c r="L315" s="46" t="s">
        <v>31</v>
      </c>
      <c r="M315" s="46" t="s">
        <v>31</v>
      </c>
      <c r="N315" s="46"/>
      <c r="O315" s="393" t="s">
        <v>221</v>
      </c>
      <c r="P315" s="444">
        <v>3.2599999999999997E-2</v>
      </c>
      <c r="Q315" s="46"/>
      <c r="R315" s="46"/>
      <c r="S315" s="46"/>
      <c r="T315" s="46"/>
      <c r="U315" s="46"/>
    </row>
    <row r="316" spans="1:21">
      <c r="A316" s="47" t="s">
        <v>760</v>
      </c>
      <c r="B316" s="407">
        <f t="shared" si="40"/>
        <v>2.9999999999999997E-4</v>
      </c>
      <c r="C316" s="46" t="s">
        <v>37</v>
      </c>
      <c r="D316" s="46" t="s">
        <v>43</v>
      </c>
      <c r="E316" s="46" t="s">
        <v>44</v>
      </c>
      <c r="F316" s="46" t="s">
        <v>29</v>
      </c>
      <c r="G316" s="46" t="s">
        <v>45</v>
      </c>
      <c r="H316" s="46">
        <v>2</v>
      </c>
      <c r="I316" s="46">
        <f t="shared" si="43"/>
        <v>-8.1117280833080727</v>
      </c>
      <c r="J316" s="46">
        <v>0.22500000000000006</v>
      </c>
      <c r="K316" s="46" t="s">
        <v>31</v>
      </c>
      <c r="L316" s="46" t="s">
        <v>31</v>
      </c>
      <c r="M316" s="46" t="s">
        <v>31</v>
      </c>
      <c r="N316" s="46"/>
      <c r="O316" s="408" t="s">
        <v>221</v>
      </c>
      <c r="P316" s="409">
        <v>2.9999999999999997E-4</v>
      </c>
      <c r="Q316" s="46"/>
      <c r="R316" s="46"/>
      <c r="S316" s="46"/>
      <c r="T316" s="46"/>
      <c r="U316" s="46"/>
    </row>
    <row r="317" spans="1:21">
      <c r="A317" s="46" t="s">
        <v>777</v>
      </c>
      <c r="B317" s="407">
        <f t="shared" si="40"/>
        <v>5.7999999999999996E-3</v>
      </c>
      <c r="C317" s="46" t="s">
        <v>37</v>
      </c>
      <c r="D317" s="400" t="s">
        <v>2</v>
      </c>
      <c r="E317" s="46" t="s">
        <v>29</v>
      </c>
      <c r="F317" s="32" t="s">
        <v>741</v>
      </c>
      <c r="G317" s="46" t="s">
        <v>33</v>
      </c>
      <c r="H317" s="46">
        <v>2</v>
      </c>
      <c r="I317" s="46">
        <f t="shared" si="43"/>
        <v>-5.1498973614297636</v>
      </c>
      <c r="J317" s="46">
        <v>0.22500000000000006</v>
      </c>
      <c r="K317" s="46" t="s">
        <v>31</v>
      </c>
      <c r="L317" s="46" t="s">
        <v>31</v>
      </c>
      <c r="M317" s="46" t="s">
        <v>31</v>
      </c>
      <c r="N317" s="46"/>
      <c r="O317" s="410" t="s">
        <v>221</v>
      </c>
      <c r="P317" s="445">
        <v>5.7999999999999996E-3</v>
      </c>
      <c r="Q317" s="46"/>
      <c r="R317" s="46"/>
      <c r="S317" s="46"/>
      <c r="T317" s="46"/>
      <c r="U317" s="46"/>
    </row>
    <row r="318" spans="1:21" s="41" customFormat="1">
      <c r="A318" s="362" t="s">
        <v>5</v>
      </c>
      <c r="B318" s="363" t="s">
        <v>1051</v>
      </c>
      <c r="C318" s="345"/>
      <c r="D318" s="345"/>
      <c r="E318" s="345"/>
      <c r="F318" s="345"/>
      <c r="G318" s="345"/>
      <c r="H318" s="345"/>
      <c r="I318" s="345"/>
      <c r="J318" s="345"/>
      <c r="K318" s="345"/>
      <c r="L318" s="345"/>
      <c r="M318" s="345"/>
      <c r="N318" s="345"/>
      <c r="O318" s="345"/>
      <c r="P318" s="345"/>
      <c r="Q318" s="345"/>
      <c r="R318" s="345"/>
      <c r="S318" s="345"/>
      <c r="T318" s="345"/>
      <c r="U318" s="345"/>
    </row>
    <row r="319" spans="1:21">
      <c r="A319" s="338" t="s">
        <v>7</v>
      </c>
      <c r="B319" s="46" t="s">
        <v>779</v>
      </c>
      <c r="C319" s="337"/>
      <c r="D319" s="46"/>
      <c r="E319" s="46"/>
      <c r="F319" s="46"/>
      <c r="G319" s="46"/>
      <c r="H319" s="46"/>
      <c r="I319" s="46"/>
      <c r="J319" s="46"/>
      <c r="K319" s="46"/>
      <c r="L319" s="46"/>
      <c r="M319" s="46"/>
      <c r="N319" s="46"/>
      <c r="O319" s="46"/>
      <c r="P319" s="46"/>
      <c r="Q319" s="46"/>
      <c r="R319" s="46"/>
      <c r="S319" s="46"/>
      <c r="T319" s="46"/>
      <c r="U319" s="46"/>
    </row>
    <row r="320" spans="1:21">
      <c r="A320" s="416" t="s">
        <v>9</v>
      </c>
      <c r="B320" s="46" t="s">
        <v>1052</v>
      </c>
      <c r="C320" s="337"/>
      <c r="D320" s="46"/>
      <c r="E320" s="46"/>
      <c r="F320" s="46"/>
      <c r="G320" s="46"/>
      <c r="H320" s="46"/>
      <c r="I320" s="46"/>
      <c r="J320" s="46"/>
      <c r="K320" s="46"/>
      <c r="L320" s="46"/>
      <c r="M320" s="46"/>
      <c r="N320" s="46"/>
      <c r="O320" s="46"/>
      <c r="P320" s="46"/>
      <c r="Q320" s="46"/>
      <c r="R320" s="46"/>
      <c r="S320" s="46"/>
      <c r="T320" s="46"/>
      <c r="U320" s="46"/>
    </row>
    <row r="321" spans="1:21" ht="15.75" customHeight="1">
      <c r="A321" s="338" t="s">
        <v>11</v>
      </c>
      <c r="B321" s="339" t="s">
        <v>789</v>
      </c>
      <c r="C321" s="46"/>
      <c r="D321" s="46"/>
      <c r="E321" s="46"/>
      <c r="F321" s="46"/>
      <c r="G321" s="46"/>
      <c r="H321" s="46"/>
      <c r="I321" s="46"/>
      <c r="J321" s="46"/>
      <c r="K321" s="46"/>
      <c r="L321" s="46"/>
      <c r="M321" s="46"/>
      <c r="N321" s="46"/>
      <c r="O321" s="46"/>
      <c r="P321" s="46"/>
      <c r="Q321" s="46"/>
      <c r="R321" s="46"/>
      <c r="S321" s="46"/>
      <c r="T321" s="46"/>
      <c r="U321" s="46"/>
    </row>
    <row r="322" spans="1:21">
      <c r="A322" s="338" t="s">
        <v>13</v>
      </c>
      <c r="B322" s="46" t="s">
        <v>14</v>
      </c>
      <c r="C322" s="46"/>
      <c r="D322" s="46"/>
      <c r="E322" s="46"/>
      <c r="F322" s="46"/>
      <c r="G322" s="46"/>
      <c r="H322" s="46"/>
      <c r="I322" s="46"/>
      <c r="J322" s="46"/>
      <c r="K322" s="46"/>
      <c r="L322" s="46"/>
      <c r="M322" s="46"/>
      <c r="N322" s="46"/>
      <c r="O322" s="46"/>
      <c r="P322" s="46"/>
      <c r="Q322" s="46"/>
      <c r="R322" s="46"/>
      <c r="S322" s="46"/>
      <c r="T322" s="46"/>
      <c r="U322" s="46"/>
    </row>
    <row r="323" spans="1:21">
      <c r="A323" s="338" t="s">
        <v>15</v>
      </c>
      <c r="B323" s="407">
        <f>B328</f>
        <v>1.4E-3</v>
      </c>
      <c r="C323" s="46"/>
      <c r="D323" s="46"/>
      <c r="E323" s="46"/>
      <c r="F323" s="46"/>
      <c r="G323" s="46"/>
      <c r="H323" s="46"/>
      <c r="I323" s="46"/>
      <c r="J323" s="46"/>
      <c r="K323" s="46"/>
      <c r="L323" s="46"/>
      <c r="M323" s="46"/>
      <c r="N323" s="46"/>
      <c r="O323" s="46"/>
      <c r="P323" s="46"/>
      <c r="Q323" s="46"/>
      <c r="R323" s="46"/>
      <c r="S323" s="46"/>
      <c r="T323" s="46"/>
      <c r="U323" s="46"/>
    </row>
    <row r="324" spans="1:21">
      <c r="A324" s="338" t="s">
        <v>16</v>
      </c>
      <c r="B324" s="46" t="s">
        <v>17</v>
      </c>
      <c r="C324" s="46"/>
      <c r="D324" s="46"/>
      <c r="E324" s="46"/>
      <c r="F324" s="46"/>
      <c r="G324" s="46"/>
      <c r="H324" s="46"/>
      <c r="I324" s="46"/>
      <c r="J324" s="46"/>
      <c r="K324" s="46"/>
      <c r="L324" s="46"/>
      <c r="M324" s="46"/>
      <c r="N324" s="46"/>
      <c r="O324" s="46"/>
      <c r="P324" s="46"/>
      <c r="Q324" s="46"/>
      <c r="R324" s="46"/>
      <c r="S324" s="46"/>
      <c r="T324" s="46"/>
      <c r="U324" s="46"/>
    </row>
    <row r="325" spans="1:21">
      <c r="A325" s="338" t="s">
        <v>18</v>
      </c>
      <c r="B325" s="46" t="s">
        <v>113</v>
      </c>
      <c r="C325" s="46"/>
      <c r="D325" s="46"/>
      <c r="E325" s="46"/>
      <c r="F325" s="46"/>
      <c r="G325" s="46"/>
      <c r="H325" s="46"/>
      <c r="I325" s="46"/>
      <c r="J325" s="46"/>
      <c r="K325" s="46"/>
      <c r="L325" s="46"/>
      <c r="M325" s="46"/>
      <c r="N325" s="46"/>
      <c r="O325" s="46"/>
      <c r="P325" s="46"/>
      <c r="Q325" s="46"/>
      <c r="R325" s="46"/>
      <c r="S325" s="46"/>
      <c r="T325" s="46"/>
      <c r="U325" s="46"/>
    </row>
    <row r="326" spans="1:21">
      <c r="A326" s="335" t="s">
        <v>19</v>
      </c>
      <c r="B326" s="46"/>
      <c r="C326" s="46"/>
      <c r="D326" s="46"/>
      <c r="E326" s="46"/>
      <c r="F326" s="46"/>
      <c r="G326" s="46"/>
      <c r="H326" s="46"/>
      <c r="I326" s="46"/>
      <c r="J326" s="46"/>
      <c r="K326" s="46"/>
      <c r="L326" s="46"/>
      <c r="M326" s="46"/>
      <c r="N326" s="46"/>
      <c r="O326" s="46"/>
      <c r="P326" s="46"/>
      <c r="Q326" s="46"/>
      <c r="R326" s="46"/>
      <c r="S326" s="46"/>
      <c r="T326" s="46"/>
      <c r="U326" s="46"/>
    </row>
    <row r="327" spans="1:21">
      <c r="A327" s="336" t="s">
        <v>20</v>
      </c>
      <c r="B327" s="336" t="s">
        <v>21</v>
      </c>
      <c r="C327" s="336" t="s">
        <v>18</v>
      </c>
      <c r="D327" s="336" t="s">
        <v>22</v>
      </c>
      <c r="E327" s="336" t="s">
        <v>7</v>
      </c>
      <c r="F327" s="336" t="s">
        <v>13</v>
      </c>
      <c r="G327" s="336" t="s">
        <v>16</v>
      </c>
      <c r="H327" s="336" t="s">
        <v>23</v>
      </c>
      <c r="I327" s="336" t="s">
        <v>24</v>
      </c>
      <c r="J327" s="336" t="s">
        <v>25</v>
      </c>
      <c r="K327" s="336" t="s">
        <v>26</v>
      </c>
      <c r="L327" s="336" t="s">
        <v>27</v>
      </c>
      <c r="M327" s="336" t="s">
        <v>28</v>
      </c>
      <c r="N327" s="336" t="s">
        <v>11</v>
      </c>
      <c r="O327" s="46"/>
      <c r="P327" s="46"/>
      <c r="Q327" s="46"/>
      <c r="R327" s="46"/>
      <c r="S327" s="46"/>
      <c r="T327" s="407"/>
      <c r="U327" s="46"/>
    </row>
    <row r="328" spans="1:21">
      <c r="A328" s="46" t="s">
        <v>1051</v>
      </c>
      <c r="B328" s="407">
        <f>P329</f>
        <v>1.4E-3</v>
      </c>
      <c r="C328" s="46" t="s">
        <v>113</v>
      </c>
      <c r="D328" s="400" t="s">
        <v>2</v>
      </c>
      <c r="E328" s="46" t="s">
        <v>29</v>
      </c>
      <c r="F328" s="46" t="s">
        <v>14</v>
      </c>
      <c r="G328" s="46" t="s">
        <v>30</v>
      </c>
      <c r="H328" s="46">
        <v>1</v>
      </c>
      <c r="I328" s="407">
        <f t="shared" ref="I328:I330" si="44">B328</f>
        <v>1.4E-3</v>
      </c>
      <c r="J328" s="46" t="s">
        <v>31</v>
      </c>
      <c r="K328" s="46" t="s">
        <v>31</v>
      </c>
      <c r="L328" s="46" t="s">
        <v>31</v>
      </c>
      <c r="M328" s="46" t="s">
        <v>31</v>
      </c>
      <c r="N328" s="46"/>
      <c r="O328" s="46"/>
      <c r="P328" s="46"/>
      <c r="Q328" s="46"/>
      <c r="R328" s="46"/>
      <c r="S328" s="46"/>
      <c r="T328" s="46"/>
      <c r="U328" s="46"/>
    </row>
    <row r="329" spans="1:21">
      <c r="A329" s="62" t="s">
        <v>1053</v>
      </c>
      <c r="B329" s="407">
        <f>P329</f>
        <v>1.4E-3</v>
      </c>
      <c r="C329" s="46" t="s">
        <v>113</v>
      </c>
      <c r="D329" s="400" t="s">
        <v>2</v>
      </c>
      <c r="E329" s="46" t="s">
        <v>29</v>
      </c>
      <c r="F329" s="46" t="s">
        <v>14</v>
      </c>
      <c r="G329" s="46" t="s">
        <v>33</v>
      </c>
      <c r="H329" s="46">
        <v>1</v>
      </c>
      <c r="I329" s="407">
        <f t="shared" si="44"/>
        <v>1.4E-3</v>
      </c>
      <c r="J329" s="46">
        <v>2.8722813232690055E-2</v>
      </c>
      <c r="K329" s="46" t="s">
        <v>31</v>
      </c>
      <c r="L329" s="46" t="s">
        <v>31</v>
      </c>
      <c r="M329" s="46" t="s">
        <v>31</v>
      </c>
      <c r="N329" s="46"/>
      <c r="O329" s="388" t="s">
        <v>817</v>
      </c>
      <c r="P329" s="446">
        <v>1.4E-3</v>
      </c>
      <c r="Q329" s="46"/>
      <c r="R329" s="46"/>
      <c r="S329" s="46"/>
      <c r="T329" s="46"/>
      <c r="U329" s="46"/>
    </row>
    <row r="330" spans="1:21">
      <c r="A330" s="46" t="s">
        <v>993</v>
      </c>
      <c r="B330" s="46">
        <f>R330</f>
        <v>1.4E-2</v>
      </c>
      <c r="C330" s="46" t="s">
        <v>221</v>
      </c>
      <c r="D330" s="400" t="s">
        <v>2</v>
      </c>
      <c r="E330" s="46" t="s">
        <v>29</v>
      </c>
      <c r="F330" s="46" t="s">
        <v>14</v>
      </c>
      <c r="G330" s="46" t="s">
        <v>33</v>
      </c>
      <c r="H330" s="46">
        <v>1</v>
      </c>
      <c r="I330" s="407">
        <f t="shared" si="44"/>
        <v>1.4E-2</v>
      </c>
      <c r="J330" s="46">
        <v>2.8722813232690055E-2</v>
      </c>
      <c r="K330" s="46" t="s">
        <v>31</v>
      </c>
      <c r="L330" s="46" t="s">
        <v>31</v>
      </c>
      <c r="M330" s="46" t="s">
        <v>31</v>
      </c>
      <c r="N330" s="46"/>
      <c r="O330" s="388" t="s">
        <v>575</v>
      </c>
      <c r="P330" s="447">
        <v>14</v>
      </c>
      <c r="Q330" s="46" t="s">
        <v>221</v>
      </c>
      <c r="R330" s="46">
        <f>P330*0.001</f>
        <v>1.4E-2</v>
      </c>
      <c r="S330" s="46"/>
      <c r="T330" s="46"/>
      <c r="U330" s="46"/>
    </row>
    <row r="331" spans="1:21">
      <c r="A331" s="338" t="s">
        <v>75</v>
      </c>
      <c r="B331" s="342">
        <f>P331</f>
        <v>1E-3</v>
      </c>
      <c r="C331" s="46" t="s">
        <v>39</v>
      </c>
      <c r="D331" s="46" t="s">
        <v>40</v>
      </c>
      <c r="E331" s="46" t="s">
        <v>29</v>
      </c>
      <c r="F331" s="32" t="s">
        <v>35</v>
      </c>
      <c r="G331" s="46" t="s">
        <v>33</v>
      </c>
      <c r="H331" s="46">
        <v>2</v>
      </c>
      <c r="I331" s="46">
        <f t="shared" ref="I331:I333" si="45">LN(B331)</f>
        <v>-6.9077552789821368</v>
      </c>
      <c r="J331" s="46">
        <v>0.20928449536456342</v>
      </c>
      <c r="K331" s="46" t="s">
        <v>31</v>
      </c>
      <c r="L331" s="46" t="s">
        <v>31</v>
      </c>
      <c r="M331" s="46" t="s">
        <v>31</v>
      </c>
      <c r="N331" s="46"/>
      <c r="O331" s="393" t="s">
        <v>216</v>
      </c>
      <c r="P331" s="444">
        <v>1E-3</v>
      </c>
      <c r="Q331" s="46"/>
      <c r="R331" s="46"/>
      <c r="S331" s="46"/>
      <c r="T331" s="46"/>
      <c r="U331" s="46"/>
    </row>
    <row r="332" spans="1:21">
      <c r="A332" s="338" t="s">
        <v>75</v>
      </c>
      <c r="B332" s="342">
        <f>P332</f>
        <v>0.08</v>
      </c>
      <c r="C332" s="46" t="s">
        <v>39</v>
      </c>
      <c r="D332" s="46" t="s">
        <v>40</v>
      </c>
      <c r="E332" s="46" t="s">
        <v>29</v>
      </c>
      <c r="F332" s="32" t="s">
        <v>35</v>
      </c>
      <c r="G332" s="46" t="s">
        <v>33</v>
      </c>
      <c r="H332" s="46">
        <v>2</v>
      </c>
      <c r="I332" s="46">
        <f t="shared" si="45"/>
        <v>-2.5257286443082556</v>
      </c>
      <c r="J332" s="46">
        <v>0.20928449536456342</v>
      </c>
      <c r="K332" s="46" t="s">
        <v>31</v>
      </c>
      <c r="L332" s="46" t="s">
        <v>31</v>
      </c>
      <c r="M332" s="46" t="s">
        <v>31</v>
      </c>
      <c r="N332" s="46"/>
      <c r="O332" s="393" t="s">
        <v>216</v>
      </c>
      <c r="P332" s="406">
        <v>0.08</v>
      </c>
      <c r="Q332" s="46"/>
      <c r="R332" s="46"/>
      <c r="S332" s="46"/>
      <c r="T332" s="46"/>
      <c r="U332" s="46"/>
    </row>
    <row r="333" spans="1:21">
      <c r="A333" s="338" t="s">
        <v>75</v>
      </c>
      <c r="B333" s="342">
        <f>P333</f>
        <v>0.02</v>
      </c>
      <c r="C333" s="46" t="s">
        <v>39</v>
      </c>
      <c r="D333" s="46" t="s">
        <v>40</v>
      </c>
      <c r="E333" s="46" t="s">
        <v>29</v>
      </c>
      <c r="F333" s="32" t="s">
        <v>35</v>
      </c>
      <c r="G333" s="46" t="s">
        <v>33</v>
      </c>
      <c r="H333" s="46">
        <v>2</v>
      </c>
      <c r="I333" s="46">
        <f t="shared" si="45"/>
        <v>-3.912023005428146</v>
      </c>
      <c r="J333" s="46">
        <v>9.6436507609929598E-2</v>
      </c>
      <c r="K333" s="46" t="s">
        <v>31</v>
      </c>
      <c r="L333" s="46" t="s">
        <v>31</v>
      </c>
      <c r="M333" s="46" t="s">
        <v>31</v>
      </c>
      <c r="N333" s="46"/>
      <c r="O333" s="393" t="s">
        <v>216</v>
      </c>
      <c r="P333" s="406">
        <v>0.02</v>
      </c>
      <c r="Q333" s="46"/>
      <c r="R333" s="46"/>
      <c r="S333" s="46"/>
      <c r="T333" s="46"/>
      <c r="U333" s="46"/>
    </row>
    <row r="334" spans="1:21">
      <c r="A334" s="47" t="s">
        <v>683</v>
      </c>
      <c r="B334" s="407">
        <f>R334</f>
        <v>1E-4</v>
      </c>
      <c r="C334" s="46" t="s">
        <v>37</v>
      </c>
      <c r="D334" s="46" t="s">
        <v>40</v>
      </c>
      <c r="E334" s="46" t="s">
        <v>29</v>
      </c>
      <c r="F334" s="46" t="s">
        <v>35</v>
      </c>
      <c r="G334" s="46" t="s">
        <v>33</v>
      </c>
      <c r="H334" s="46">
        <v>2</v>
      </c>
      <c r="I334" s="46">
        <f>LN(B334)</f>
        <v>-9.2103403719761818</v>
      </c>
      <c r="J334" s="46">
        <v>0.20928449536456342</v>
      </c>
      <c r="K334" s="46" t="s">
        <v>31</v>
      </c>
      <c r="L334" s="46" t="s">
        <v>31</v>
      </c>
      <c r="M334" s="46" t="s">
        <v>31</v>
      </c>
      <c r="N334" s="46"/>
      <c r="O334" s="393" t="s">
        <v>575</v>
      </c>
      <c r="P334" s="406">
        <v>0.1</v>
      </c>
      <c r="Q334" s="46" t="s">
        <v>221</v>
      </c>
      <c r="R334" s="46">
        <f>P334*0.001</f>
        <v>1E-4</v>
      </c>
      <c r="S334" s="46"/>
      <c r="T334" s="46"/>
      <c r="U334" s="46"/>
    </row>
    <row r="335" spans="1:21">
      <c r="A335" s="338" t="s">
        <v>792</v>
      </c>
      <c r="B335" s="407">
        <f>P335</f>
        <v>1E-3</v>
      </c>
      <c r="C335" s="46" t="s">
        <v>37</v>
      </c>
      <c r="D335" s="46" t="s">
        <v>40</v>
      </c>
      <c r="E335" s="46" t="s">
        <v>29</v>
      </c>
      <c r="F335" s="32" t="s">
        <v>741</v>
      </c>
      <c r="G335" s="46" t="s">
        <v>33</v>
      </c>
      <c r="H335" s="46">
        <v>2</v>
      </c>
      <c r="I335" s="46">
        <f>LN(B335)</f>
        <v>-6.9077552789821368</v>
      </c>
      <c r="J335" s="46">
        <v>0.20928449536456342</v>
      </c>
      <c r="K335" s="46" t="s">
        <v>31</v>
      </c>
      <c r="L335" s="46" t="s">
        <v>31</v>
      </c>
      <c r="M335" s="46" t="s">
        <v>31</v>
      </c>
      <c r="N335" s="46"/>
      <c r="O335" s="393" t="s">
        <v>221</v>
      </c>
      <c r="P335" s="444">
        <v>1E-3</v>
      </c>
      <c r="Q335" s="46"/>
      <c r="R335" s="46"/>
      <c r="S335" s="46"/>
      <c r="T335" s="46"/>
      <c r="U335" s="46"/>
    </row>
    <row r="336" spans="1:21">
      <c r="A336" s="47" t="s">
        <v>542</v>
      </c>
      <c r="B336" s="433">
        <f>R336</f>
        <v>2.0000000000000001E-4</v>
      </c>
      <c r="C336" s="46" t="s">
        <v>37</v>
      </c>
      <c r="D336" s="46" t="s">
        <v>40</v>
      </c>
      <c r="E336" s="46" t="s">
        <v>29</v>
      </c>
      <c r="F336" s="32" t="s">
        <v>128</v>
      </c>
      <c r="G336" s="46" t="s">
        <v>33</v>
      </c>
      <c r="H336" s="46">
        <v>2</v>
      </c>
      <c r="I336" s="46">
        <f>LN(B336)</f>
        <v>-8.5171931914162382</v>
      </c>
      <c r="J336" s="46">
        <v>0.20928449536456342</v>
      </c>
      <c r="K336" s="46" t="s">
        <v>31</v>
      </c>
      <c r="L336" s="46" t="s">
        <v>31</v>
      </c>
      <c r="M336" s="46" t="s">
        <v>31</v>
      </c>
      <c r="N336" s="46"/>
      <c r="O336" s="393" t="s">
        <v>575</v>
      </c>
      <c r="P336" s="406">
        <v>0.2</v>
      </c>
      <c r="Q336" s="46" t="s">
        <v>221</v>
      </c>
      <c r="R336" s="46">
        <f>P336*0.001</f>
        <v>2.0000000000000001E-4</v>
      </c>
      <c r="S336" s="46"/>
      <c r="T336" s="46"/>
      <c r="U336" s="46"/>
    </row>
    <row r="337" spans="1:21">
      <c r="A337" s="47" t="s">
        <v>530</v>
      </c>
      <c r="B337" s="46">
        <f>R337</f>
        <v>4.0000000000000002E-4</v>
      </c>
      <c r="C337" s="46" t="s">
        <v>37</v>
      </c>
      <c r="D337" s="46" t="s">
        <v>40</v>
      </c>
      <c r="E337" s="46" t="s">
        <v>29</v>
      </c>
      <c r="F337" s="46" t="s">
        <v>35</v>
      </c>
      <c r="G337" s="46" t="s">
        <v>33</v>
      </c>
      <c r="H337" s="46">
        <v>2</v>
      </c>
      <c r="I337" s="46">
        <f>LN(B337)</f>
        <v>-7.8240460108562919</v>
      </c>
      <c r="J337" s="46">
        <v>0.20928449536456342</v>
      </c>
      <c r="K337" s="46" t="s">
        <v>31</v>
      </c>
      <c r="L337" s="46" t="s">
        <v>31</v>
      </c>
      <c r="M337" s="46" t="s">
        <v>31</v>
      </c>
      <c r="N337" s="46"/>
      <c r="O337" s="393" t="s">
        <v>575</v>
      </c>
      <c r="P337" s="406">
        <v>0.4</v>
      </c>
      <c r="Q337" s="46" t="s">
        <v>221</v>
      </c>
      <c r="R337" s="46">
        <f>P337*0.001</f>
        <v>4.0000000000000002E-4</v>
      </c>
      <c r="S337" s="46"/>
      <c r="T337" s="46"/>
      <c r="U337" s="46"/>
    </row>
    <row r="338" spans="1:21">
      <c r="A338" s="338" t="s">
        <v>480</v>
      </c>
      <c r="B338" s="46">
        <f>P338</f>
        <v>0.2</v>
      </c>
      <c r="C338" s="46" t="s">
        <v>37</v>
      </c>
      <c r="D338" s="46" t="s">
        <v>40</v>
      </c>
      <c r="E338" s="46" t="s">
        <v>29</v>
      </c>
      <c r="F338" s="32" t="s">
        <v>35</v>
      </c>
      <c r="G338" s="46" t="s">
        <v>33</v>
      </c>
      <c r="H338" s="46">
        <v>2</v>
      </c>
      <c r="I338" s="46">
        <f t="shared" ref="I338:I339" si="46">LN(B338)</f>
        <v>-1.6094379124341003</v>
      </c>
      <c r="J338" s="46">
        <v>0.20928449536456342</v>
      </c>
      <c r="K338" s="46" t="s">
        <v>31</v>
      </c>
      <c r="L338" s="46" t="s">
        <v>31</v>
      </c>
      <c r="M338" s="46" t="s">
        <v>31</v>
      </c>
      <c r="N338" s="46"/>
      <c r="O338" s="393" t="s">
        <v>221</v>
      </c>
      <c r="P338" s="406">
        <v>0.2</v>
      </c>
      <c r="Q338" s="46"/>
      <c r="R338" s="46"/>
      <c r="S338" s="46"/>
      <c r="T338" s="46"/>
      <c r="U338" s="46"/>
    </row>
    <row r="339" spans="1:21">
      <c r="A339" s="46" t="s">
        <v>777</v>
      </c>
      <c r="B339" s="407">
        <f>P339</f>
        <v>6.8000000000000005E-4</v>
      </c>
      <c r="C339" s="46" t="s">
        <v>37</v>
      </c>
      <c r="D339" s="400" t="s">
        <v>2</v>
      </c>
      <c r="E339" s="46" t="s">
        <v>29</v>
      </c>
      <c r="F339" s="32" t="s">
        <v>741</v>
      </c>
      <c r="G339" s="46" t="s">
        <v>33</v>
      </c>
      <c r="H339" s="46">
        <v>2</v>
      </c>
      <c r="I339" s="46">
        <f t="shared" si="46"/>
        <v>-7.2934177597941217</v>
      </c>
      <c r="J339" s="46">
        <v>0.20928449536456342</v>
      </c>
      <c r="K339" s="46" t="s">
        <v>31</v>
      </c>
      <c r="L339" s="46" t="s">
        <v>31</v>
      </c>
      <c r="M339" s="46" t="s">
        <v>31</v>
      </c>
      <c r="N339" s="46"/>
      <c r="O339" s="410" t="s">
        <v>221</v>
      </c>
      <c r="P339" s="445">
        <v>6.8000000000000005E-4</v>
      </c>
      <c r="Q339" s="46"/>
      <c r="R339" s="46"/>
      <c r="S339" s="46"/>
      <c r="T339" s="46"/>
      <c r="U339" s="46"/>
    </row>
    <row r="340" spans="1:21" s="41" customFormat="1">
      <c r="A340" s="362" t="s">
        <v>5</v>
      </c>
      <c r="B340" s="363" t="s">
        <v>1053</v>
      </c>
      <c r="C340" s="345"/>
      <c r="D340" s="345"/>
      <c r="E340" s="345"/>
      <c r="F340" s="345"/>
      <c r="G340" s="345"/>
      <c r="H340" s="345"/>
      <c r="I340" s="345"/>
      <c r="J340" s="345"/>
      <c r="K340" s="345"/>
      <c r="L340" s="345"/>
      <c r="M340" s="345"/>
      <c r="N340" s="345"/>
      <c r="O340" s="345"/>
      <c r="P340" s="461"/>
      <c r="Q340" s="345"/>
      <c r="R340" s="345"/>
      <c r="S340" s="345"/>
      <c r="T340" s="345"/>
      <c r="U340" s="345"/>
    </row>
    <row r="341" spans="1:21">
      <c r="A341" s="338" t="s">
        <v>7</v>
      </c>
      <c r="B341" s="46" t="s">
        <v>779</v>
      </c>
      <c r="C341" s="337"/>
      <c r="D341" s="46"/>
      <c r="E341" s="46"/>
      <c r="F341" s="46"/>
      <c r="G341" s="46"/>
      <c r="H341" s="46"/>
      <c r="I341" s="46"/>
      <c r="J341" s="46"/>
      <c r="K341" s="46"/>
      <c r="L341" s="46"/>
      <c r="M341" s="46"/>
      <c r="N341" s="46"/>
      <c r="O341" s="46"/>
      <c r="P341" s="46"/>
      <c r="Q341" s="46"/>
      <c r="R341" s="46"/>
      <c r="S341" s="46"/>
      <c r="T341" s="46"/>
      <c r="U341" s="46"/>
    </row>
    <row r="342" spans="1:21">
      <c r="A342" s="416" t="s">
        <v>9</v>
      </c>
      <c r="B342" s="46" t="s">
        <v>1054</v>
      </c>
      <c r="C342" s="337"/>
      <c r="D342" s="46"/>
      <c r="E342" s="46"/>
      <c r="F342" s="46"/>
      <c r="G342" s="46"/>
      <c r="H342" s="46"/>
      <c r="I342" s="46"/>
      <c r="J342" s="46"/>
      <c r="K342" s="46"/>
      <c r="L342" s="46"/>
      <c r="M342" s="46"/>
      <c r="N342" s="46"/>
      <c r="O342" s="46"/>
      <c r="P342" s="46"/>
      <c r="Q342" s="46"/>
      <c r="R342" s="46"/>
      <c r="S342" s="46"/>
      <c r="T342" s="46"/>
      <c r="U342" s="46"/>
    </row>
    <row r="343" spans="1:21" ht="15.75" customHeight="1">
      <c r="A343" s="338" t="s">
        <v>11</v>
      </c>
      <c r="B343" s="339" t="s">
        <v>789</v>
      </c>
      <c r="C343" s="46"/>
      <c r="D343" s="46"/>
      <c r="E343" s="46"/>
      <c r="F343" s="46"/>
      <c r="G343" s="46"/>
      <c r="H343" s="46"/>
      <c r="I343" s="46"/>
      <c r="J343" s="46"/>
      <c r="K343" s="46"/>
      <c r="L343" s="46"/>
      <c r="M343" s="46"/>
      <c r="N343" s="46"/>
      <c r="O343" s="46"/>
      <c r="P343" s="46"/>
      <c r="Q343" s="46"/>
      <c r="R343" s="46"/>
      <c r="S343" s="46"/>
      <c r="T343" s="46"/>
      <c r="U343" s="46"/>
    </row>
    <row r="344" spans="1:21">
      <c r="A344" s="338" t="s">
        <v>13</v>
      </c>
      <c r="B344" s="46" t="s">
        <v>14</v>
      </c>
      <c r="C344" s="46"/>
      <c r="D344" s="46"/>
      <c r="E344" s="46"/>
      <c r="F344" s="46"/>
      <c r="G344" s="46"/>
      <c r="H344" s="46"/>
      <c r="I344" s="46"/>
      <c r="J344" s="46"/>
      <c r="K344" s="46"/>
      <c r="L344" s="46"/>
      <c r="M344" s="46"/>
      <c r="N344" s="46"/>
      <c r="O344" s="46"/>
      <c r="P344" s="46"/>
      <c r="Q344" s="46"/>
      <c r="R344" s="46"/>
      <c r="S344" s="46"/>
      <c r="T344" s="46"/>
      <c r="U344" s="46"/>
    </row>
    <row r="345" spans="1:21">
      <c r="A345" s="338" t="s">
        <v>15</v>
      </c>
      <c r="B345" s="407">
        <v>1.4E-3</v>
      </c>
      <c r="C345" s="46"/>
      <c r="D345" s="46"/>
      <c r="E345" s="46"/>
      <c r="F345" s="46"/>
      <c r="G345" s="46"/>
      <c r="H345" s="46"/>
      <c r="I345" s="46"/>
      <c r="J345" s="46"/>
      <c r="K345" s="46"/>
      <c r="L345" s="46"/>
      <c r="M345" s="46"/>
      <c r="N345" s="46"/>
      <c r="O345" s="46"/>
      <c r="P345" s="46"/>
      <c r="Q345" s="46"/>
      <c r="R345" s="46"/>
      <c r="S345" s="46"/>
      <c r="T345" s="46"/>
      <c r="U345" s="46"/>
    </row>
    <row r="346" spans="1:21">
      <c r="A346" s="338" t="s">
        <v>16</v>
      </c>
      <c r="B346" s="46" t="s">
        <v>17</v>
      </c>
      <c r="C346" s="46"/>
      <c r="D346" s="46"/>
      <c r="E346" s="46"/>
      <c r="F346" s="46"/>
      <c r="G346" s="46"/>
      <c r="H346" s="46"/>
      <c r="I346" s="46"/>
      <c r="J346" s="46"/>
      <c r="K346" s="46"/>
      <c r="L346" s="46"/>
      <c r="M346" s="46"/>
      <c r="N346" s="46"/>
      <c r="O346" s="46"/>
      <c r="P346" s="46"/>
      <c r="Q346" s="46"/>
      <c r="R346" s="46"/>
      <c r="S346" s="46"/>
      <c r="T346" s="46"/>
      <c r="U346" s="46"/>
    </row>
    <row r="347" spans="1:21">
      <c r="A347" s="338" t="s">
        <v>18</v>
      </c>
      <c r="B347" s="46" t="s">
        <v>113</v>
      </c>
      <c r="C347" s="46"/>
      <c r="D347" s="46"/>
      <c r="E347" s="46"/>
      <c r="F347" s="46"/>
      <c r="G347" s="46"/>
      <c r="H347" s="46"/>
      <c r="I347" s="46"/>
      <c r="J347" s="46"/>
      <c r="K347" s="46"/>
      <c r="L347" s="46"/>
      <c r="M347" s="46"/>
      <c r="N347" s="46"/>
      <c r="O347" s="46"/>
      <c r="P347" s="46"/>
      <c r="Q347" s="46"/>
      <c r="R347" s="46"/>
      <c r="S347" s="46"/>
      <c r="T347" s="46"/>
      <c r="U347" s="46"/>
    </row>
    <row r="348" spans="1:21">
      <c r="A348" s="335" t="s">
        <v>19</v>
      </c>
      <c r="B348" s="46"/>
      <c r="C348" s="46"/>
      <c r="D348" s="46"/>
      <c r="E348" s="46"/>
      <c r="F348" s="46"/>
      <c r="G348" s="46"/>
      <c r="H348" s="46"/>
      <c r="I348" s="46"/>
      <c r="J348" s="46"/>
      <c r="K348" s="46"/>
      <c r="L348" s="46"/>
      <c r="M348" s="46"/>
      <c r="N348" s="46"/>
      <c r="O348" s="46"/>
      <c r="P348" s="46"/>
      <c r="Q348" s="46"/>
      <c r="R348" s="46"/>
      <c r="S348" s="46"/>
      <c r="T348" s="46"/>
      <c r="U348" s="46"/>
    </row>
    <row r="349" spans="1:21">
      <c r="A349" s="336" t="s">
        <v>20</v>
      </c>
      <c r="B349" s="336" t="s">
        <v>21</v>
      </c>
      <c r="C349" s="336" t="s">
        <v>18</v>
      </c>
      <c r="D349" s="336" t="s">
        <v>22</v>
      </c>
      <c r="E349" s="336" t="s">
        <v>7</v>
      </c>
      <c r="F349" s="336" t="s">
        <v>13</v>
      </c>
      <c r="G349" s="336" t="s">
        <v>16</v>
      </c>
      <c r="H349" s="336" t="s">
        <v>23</v>
      </c>
      <c r="I349" s="336" t="s">
        <v>24</v>
      </c>
      <c r="J349" s="336" t="s">
        <v>25</v>
      </c>
      <c r="K349" s="336" t="s">
        <v>26</v>
      </c>
      <c r="L349" s="336" t="s">
        <v>27</v>
      </c>
      <c r="M349" s="336" t="s">
        <v>28</v>
      </c>
      <c r="N349" s="336" t="s">
        <v>11</v>
      </c>
      <c r="O349" s="46"/>
      <c r="P349" s="46"/>
      <c r="Q349" s="46"/>
      <c r="R349" s="46"/>
      <c r="S349" s="46"/>
      <c r="T349" s="407"/>
      <c r="U349" s="46"/>
    </row>
    <row r="350" spans="1:21">
      <c r="A350" s="62" t="s">
        <v>1053</v>
      </c>
      <c r="B350" s="407">
        <v>1.4E-3</v>
      </c>
      <c r="C350" s="46" t="s">
        <v>113</v>
      </c>
      <c r="D350" s="400" t="s">
        <v>2</v>
      </c>
      <c r="E350" s="46" t="s">
        <v>29</v>
      </c>
      <c r="F350" s="46" t="s">
        <v>14</v>
      </c>
      <c r="G350" s="46" t="s">
        <v>30</v>
      </c>
      <c r="H350" s="46">
        <v>1</v>
      </c>
      <c r="I350" s="407">
        <f>B350</f>
        <v>1.4E-3</v>
      </c>
      <c r="J350" s="46" t="s">
        <v>31</v>
      </c>
      <c r="K350" s="46" t="s">
        <v>31</v>
      </c>
      <c r="L350" s="46" t="s">
        <v>31</v>
      </c>
      <c r="M350" s="46" t="s">
        <v>31</v>
      </c>
      <c r="N350" s="46"/>
      <c r="O350" s="388" t="s">
        <v>817</v>
      </c>
      <c r="P350" s="446">
        <v>2E-3</v>
      </c>
      <c r="Q350" s="46"/>
      <c r="R350" s="46"/>
      <c r="S350" s="46"/>
      <c r="T350" s="46"/>
      <c r="U350" s="46"/>
    </row>
    <row r="351" spans="1:21">
      <c r="A351" s="47" t="s">
        <v>842</v>
      </c>
      <c r="B351" s="46">
        <f>P351</f>
        <v>3.0000000000000001E-3</v>
      </c>
      <c r="C351" s="46" t="s">
        <v>37</v>
      </c>
      <c r="D351" s="46" t="s">
        <v>40</v>
      </c>
      <c r="E351" s="46" t="s">
        <v>29</v>
      </c>
      <c r="F351" s="46" t="s">
        <v>128</v>
      </c>
      <c r="G351" s="46" t="s">
        <v>33</v>
      </c>
      <c r="H351" s="46">
        <v>2</v>
      </c>
      <c r="I351" s="46">
        <f t="shared" ref="I351:I361" si="47">LN(B351)</f>
        <v>-5.8091429903140277</v>
      </c>
      <c r="J351" s="456">
        <v>0.22516660498395411</v>
      </c>
      <c r="K351" s="46" t="s">
        <v>31</v>
      </c>
      <c r="L351" s="46" t="s">
        <v>31</v>
      </c>
      <c r="M351" s="46" t="s">
        <v>31</v>
      </c>
      <c r="N351" s="46"/>
      <c r="O351" s="393" t="s">
        <v>221</v>
      </c>
      <c r="P351" s="406">
        <v>3.0000000000000001E-3</v>
      </c>
      <c r="Q351" s="46"/>
      <c r="R351" s="46"/>
      <c r="S351" s="46"/>
      <c r="T351" s="46"/>
      <c r="U351" s="46"/>
    </row>
    <row r="352" spans="1:21">
      <c r="A352" s="338" t="s">
        <v>75</v>
      </c>
      <c r="B352" s="342">
        <f>P352</f>
        <v>2.8000000000000001E-2</v>
      </c>
      <c r="C352" s="46" t="s">
        <v>39</v>
      </c>
      <c r="D352" s="46" t="s">
        <v>40</v>
      </c>
      <c r="E352" s="46" t="s">
        <v>29</v>
      </c>
      <c r="F352" s="32" t="s">
        <v>35</v>
      </c>
      <c r="G352" s="46" t="s">
        <v>33</v>
      </c>
      <c r="H352" s="46">
        <v>2</v>
      </c>
      <c r="I352" s="46">
        <f t="shared" si="47"/>
        <v>-3.575550768806933</v>
      </c>
      <c r="J352" s="456">
        <v>0.22516660498395411</v>
      </c>
      <c r="K352" s="46" t="s">
        <v>31</v>
      </c>
      <c r="L352" s="46" t="s">
        <v>31</v>
      </c>
      <c r="M352" s="46" t="s">
        <v>31</v>
      </c>
      <c r="N352" s="46"/>
      <c r="O352" s="393" t="s">
        <v>216</v>
      </c>
      <c r="P352" s="406">
        <v>2.8000000000000001E-2</v>
      </c>
      <c r="Q352" s="46"/>
      <c r="R352" s="46"/>
      <c r="S352" s="46"/>
      <c r="T352" s="46"/>
      <c r="U352" s="46"/>
    </row>
    <row r="353" spans="1:21">
      <c r="A353" s="47" t="s">
        <v>958</v>
      </c>
      <c r="B353" s="407">
        <f>R353</f>
        <v>4.7000000000000004E-5</v>
      </c>
      <c r="C353" s="46" t="s">
        <v>37</v>
      </c>
      <c r="D353" s="46" t="s">
        <v>40</v>
      </c>
      <c r="E353" s="46" t="s">
        <v>29</v>
      </c>
      <c r="F353" s="46" t="s">
        <v>35</v>
      </c>
      <c r="G353" s="46" t="s">
        <v>33</v>
      </c>
      <c r="H353" s="46">
        <v>2</v>
      </c>
      <c r="I353" s="46">
        <f t="shared" si="47"/>
        <v>-9.9653629562542161</v>
      </c>
      <c r="J353" s="456">
        <v>0.22516660498395411</v>
      </c>
      <c r="K353" s="46" t="s">
        <v>31</v>
      </c>
      <c r="L353" s="46" t="s">
        <v>31</v>
      </c>
      <c r="M353" s="46" t="s">
        <v>31</v>
      </c>
      <c r="N353" s="46"/>
      <c r="O353" s="393" t="s">
        <v>575</v>
      </c>
      <c r="P353" s="444">
        <v>4.7E-2</v>
      </c>
      <c r="Q353" s="46" t="s">
        <v>221</v>
      </c>
      <c r="R353" s="407">
        <f>0.001*P353</f>
        <v>4.7000000000000004E-5</v>
      </c>
      <c r="S353" s="46"/>
      <c r="T353" s="46"/>
      <c r="U353" s="46"/>
    </row>
    <row r="354" spans="1:21">
      <c r="A354" s="47" t="s">
        <v>959</v>
      </c>
      <c r="B354" s="407">
        <f>P354</f>
        <v>2.0000000000000001E-4</v>
      </c>
      <c r="C354" s="46" t="s">
        <v>37</v>
      </c>
      <c r="D354" s="46" t="s">
        <v>40</v>
      </c>
      <c r="E354" s="46" t="s">
        <v>29</v>
      </c>
      <c r="F354" s="46" t="s">
        <v>35</v>
      </c>
      <c r="G354" s="46" t="s">
        <v>33</v>
      </c>
      <c r="H354" s="46">
        <v>2</v>
      </c>
      <c r="I354" s="46">
        <f t="shared" si="47"/>
        <v>-8.5171931914162382</v>
      </c>
      <c r="J354" s="456">
        <v>0.22516660498395411</v>
      </c>
      <c r="K354" s="46" t="s">
        <v>31</v>
      </c>
      <c r="L354" s="46" t="s">
        <v>31</v>
      </c>
      <c r="M354" s="46" t="s">
        <v>31</v>
      </c>
      <c r="N354" s="46"/>
      <c r="O354" s="393" t="s">
        <v>221</v>
      </c>
      <c r="P354" s="444">
        <v>2.0000000000000001E-4</v>
      </c>
      <c r="Q354" s="46"/>
      <c r="R354" s="46"/>
      <c r="S354" s="46"/>
      <c r="T354" s="46"/>
      <c r="U354" s="46"/>
    </row>
    <row r="355" spans="1:21">
      <c r="A355" s="47" t="s">
        <v>960</v>
      </c>
      <c r="B355" s="407">
        <f>P355</f>
        <v>2.0000000000000001E-4</v>
      </c>
      <c r="C355" s="46" t="s">
        <v>37</v>
      </c>
      <c r="D355" s="46" t="s">
        <v>40</v>
      </c>
      <c r="E355" s="46" t="s">
        <v>29</v>
      </c>
      <c r="F355" s="46" t="s">
        <v>35</v>
      </c>
      <c r="G355" s="46" t="s">
        <v>33</v>
      </c>
      <c r="H355" s="46">
        <v>2</v>
      </c>
      <c r="I355" s="46">
        <f t="shared" si="47"/>
        <v>-8.5171931914162382</v>
      </c>
      <c r="J355" s="456">
        <v>0.22516660498395411</v>
      </c>
      <c r="K355" s="46" t="s">
        <v>31</v>
      </c>
      <c r="L355" s="46" t="s">
        <v>31</v>
      </c>
      <c r="M355" s="46" t="s">
        <v>31</v>
      </c>
      <c r="N355" s="46"/>
      <c r="O355" s="393" t="s">
        <v>221</v>
      </c>
      <c r="P355" s="444">
        <v>2.0000000000000001E-4</v>
      </c>
      <c r="Q355" s="46"/>
      <c r="R355" s="46"/>
      <c r="S355" s="46"/>
      <c r="T355" s="46"/>
      <c r="U355" s="46"/>
    </row>
    <row r="356" spans="1:21">
      <c r="A356" s="47" t="s">
        <v>961</v>
      </c>
      <c r="B356" s="407">
        <f>P356</f>
        <v>1.6999999999999999E-3</v>
      </c>
      <c r="C356" s="46" t="s">
        <v>37</v>
      </c>
      <c r="D356" s="46" t="s">
        <v>40</v>
      </c>
      <c r="E356" s="46" t="s">
        <v>29</v>
      </c>
      <c r="F356" s="46" t="s">
        <v>35</v>
      </c>
      <c r="G356" s="46" t="s">
        <v>33</v>
      </c>
      <c r="H356" s="46">
        <v>2</v>
      </c>
      <c r="I356" s="46">
        <f t="shared" si="47"/>
        <v>-6.3771270279199666</v>
      </c>
      <c r="J356" s="456">
        <v>0.22516660498395411</v>
      </c>
      <c r="K356" s="46" t="s">
        <v>31</v>
      </c>
      <c r="L356" s="46" t="s">
        <v>31</v>
      </c>
      <c r="M356" s="46" t="s">
        <v>31</v>
      </c>
      <c r="N356" s="46"/>
      <c r="O356" s="393" t="s">
        <v>221</v>
      </c>
      <c r="P356" s="406">
        <v>1.6999999999999999E-3</v>
      </c>
      <c r="Q356" s="46"/>
      <c r="R356" s="46"/>
      <c r="S356" s="46"/>
      <c r="T356" s="46"/>
      <c r="U356" s="46"/>
    </row>
    <row r="357" spans="1:21">
      <c r="A357" s="47" t="s">
        <v>962</v>
      </c>
      <c r="B357" s="407">
        <f>R357</f>
        <v>9.5000000000000005E-6</v>
      </c>
      <c r="C357" s="46" t="s">
        <v>37</v>
      </c>
      <c r="D357" s="46" t="s">
        <v>43</v>
      </c>
      <c r="E357" s="46" t="s">
        <v>44</v>
      </c>
      <c r="F357" s="46" t="s">
        <v>29</v>
      </c>
      <c r="G357" s="46" t="s">
        <v>45</v>
      </c>
      <c r="H357" s="46">
        <v>2</v>
      </c>
      <c r="I357" s="46">
        <f t="shared" si="47"/>
        <v>-11.564218759357779</v>
      </c>
      <c r="J357" s="456">
        <v>0.10344080432788608</v>
      </c>
      <c r="K357" s="46" t="s">
        <v>31</v>
      </c>
      <c r="L357" s="46" t="s">
        <v>31</v>
      </c>
      <c r="M357" s="46" t="s">
        <v>31</v>
      </c>
      <c r="N357" s="46"/>
      <c r="O357" s="408" t="s">
        <v>575</v>
      </c>
      <c r="P357" s="409">
        <v>9.4999999999999998E-3</v>
      </c>
      <c r="Q357" s="46" t="s">
        <v>221</v>
      </c>
      <c r="R357" s="407">
        <f>0.001*P357</f>
        <v>9.5000000000000005E-6</v>
      </c>
      <c r="S357" s="46"/>
      <c r="T357" s="46"/>
      <c r="U357" s="46"/>
    </row>
    <row r="358" spans="1:21">
      <c r="A358" s="47" t="s">
        <v>229</v>
      </c>
      <c r="B358" s="407">
        <f t="shared" ref="B358:B360" si="48">R358</f>
        <v>1E-4</v>
      </c>
      <c r="C358" s="46" t="s">
        <v>37</v>
      </c>
      <c r="D358" s="46" t="s">
        <v>43</v>
      </c>
      <c r="E358" s="46" t="s">
        <v>44</v>
      </c>
      <c r="F358" s="46" t="s">
        <v>29</v>
      </c>
      <c r="G358" s="46" t="s">
        <v>45</v>
      </c>
      <c r="H358" s="46">
        <v>2</v>
      </c>
      <c r="I358" s="46">
        <f t="shared" si="47"/>
        <v>-9.2103403719761818</v>
      </c>
      <c r="J358" s="456">
        <v>0.10344080432788608</v>
      </c>
      <c r="K358" s="46" t="s">
        <v>31</v>
      </c>
      <c r="L358" s="46" t="s">
        <v>31</v>
      </c>
      <c r="M358" s="46" t="s">
        <v>31</v>
      </c>
      <c r="N358" s="46"/>
      <c r="O358" s="408" t="s">
        <v>575</v>
      </c>
      <c r="P358" s="409">
        <v>0.1</v>
      </c>
      <c r="Q358" s="46" t="s">
        <v>221</v>
      </c>
      <c r="R358" s="407">
        <f>0.001*P358</f>
        <v>1E-4</v>
      </c>
      <c r="S358" s="46"/>
      <c r="T358" s="46"/>
      <c r="U358" s="46"/>
    </row>
    <row r="359" spans="1:21">
      <c r="A359" s="47" t="s">
        <v>963</v>
      </c>
      <c r="B359" s="407">
        <f t="shared" si="48"/>
        <v>6.6000000000000005E-5</v>
      </c>
      <c r="C359" s="46" t="s">
        <v>37</v>
      </c>
      <c r="D359" s="46" t="s">
        <v>43</v>
      </c>
      <c r="E359" s="46" t="s">
        <v>44</v>
      </c>
      <c r="F359" s="46" t="s">
        <v>29</v>
      </c>
      <c r="G359" s="46" t="s">
        <v>45</v>
      </c>
      <c r="H359" s="46">
        <v>2</v>
      </c>
      <c r="I359" s="46">
        <f t="shared" si="47"/>
        <v>-9.6258558159378484</v>
      </c>
      <c r="J359" s="456">
        <v>0.10344080432788608</v>
      </c>
      <c r="K359" s="46" t="s">
        <v>31</v>
      </c>
      <c r="L359" s="46" t="s">
        <v>31</v>
      </c>
      <c r="M359" s="46" t="s">
        <v>31</v>
      </c>
      <c r="N359" s="46"/>
      <c r="O359" s="408" t="s">
        <v>575</v>
      </c>
      <c r="P359" s="409">
        <v>6.6000000000000003E-2</v>
      </c>
      <c r="Q359" s="46" t="s">
        <v>221</v>
      </c>
      <c r="R359" s="407">
        <f>0.001*P359</f>
        <v>6.6000000000000005E-5</v>
      </c>
      <c r="S359" s="46"/>
      <c r="T359" s="46"/>
      <c r="U359" s="46"/>
    </row>
    <row r="360" spans="1:21">
      <c r="A360" s="47" t="s">
        <v>760</v>
      </c>
      <c r="B360" s="407">
        <f t="shared" si="48"/>
        <v>3.8000000000000002E-5</v>
      </c>
      <c r="C360" s="46" t="s">
        <v>37</v>
      </c>
      <c r="D360" s="46" t="s">
        <v>43</v>
      </c>
      <c r="E360" s="46" t="s">
        <v>44</v>
      </c>
      <c r="F360" s="46" t="s">
        <v>29</v>
      </c>
      <c r="G360" s="46" t="s">
        <v>45</v>
      </c>
      <c r="H360" s="46">
        <v>2</v>
      </c>
      <c r="I360" s="46">
        <f t="shared" si="47"/>
        <v>-10.177924398237888</v>
      </c>
      <c r="J360" s="456">
        <v>0.10344080432788608</v>
      </c>
      <c r="K360" s="46" t="s">
        <v>31</v>
      </c>
      <c r="L360" s="46" t="s">
        <v>31</v>
      </c>
      <c r="M360" s="46" t="s">
        <v>31</v>
      </c>
      <c r="N360" s="46"/>
      <c r="O360" s="408" t="s">
        <v>575</v>
      </c>
      <c r="P360" s="409">
        <v>3.7999999999999999E-2</v>
      </c>
      <c r="Q360" s="46" t="s">
        <v>221</v>
      </c>
      <c r="R360" s="407">
        <f>0.001*P360</f>
        <v>3.8000000000000002E-5</v>
      </c>
      <c r="S360" s="46"/>
      <c r="T360" s="46"/>
      <c r="U360" s="46"/>
    </row>
    <row r="361" spans="1:21">
      <c r="A361" s="46" t="s">
        <v>783</v>
      </c>
      <c r="B361" s="407">
        <f>P361</f>
        <v>5.0000000000000001E-4</v>
      </c>
      <c r="C361" s="46" t="s">
        <v>37</v>
      </c>
      <c r="D361" s="400" t="s">
        <v>2</v>
      </c>
      <c r="E361" s="46" t="s">
        <v>29</v>
      </c>
      <c r="F361" s="32" t="s">
        <v>741</v>
      </c>
      <c r="G361" s="46" t="s">
        <v>33</v>
      </c>
      <c r="H361" s="46">
        <v>2</v>
      </c>
      <c r="I361" s="46">
        <f t="shared" si="47"/>
        <v>-7.6009024595420822</v>
      </c>
      <c r="J361" s="46">
        <v>0.11269427669584645</v>
      </c>
      <c r="K361" s="46" t="s">
        <v>31</v>
      </c>
      <c r="L361" s="46" t="s">
        <v>31</v>
      </c>
      <c r="M361" s="46" t="s">
        <v>31</v>
      </c>
      <c r="N361" s="46"/>
      <c r="O361" s="410" t="s">
        <v>221</v>
      </c>
      <c r="P361" s="445">
        <v>5.0000000000000001E-4</v>
      </c>
      <c r="Q361" s="46"/>
      <c r="R361" s="46"/>
      <c r="S361" s="46"/>
      <c r="T361" s="46"/>
      <c r="U361" s="46"/>
    </row>
    <row r="362" spans="1:21">
      <c r="P362" s="184"/>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8173-1987-40BF-BCF7-BBFDDB1BE3C7}">
  <sheetPr>
    <tabColor theme="7"/>
  </sheetPr>
  <dimension ref="A1:AC57"/>
  <sheetViews>
    <sheetView topLeftCell="B1" workbookViewId="0">
      <selection activeCell="I13" sqref="I13:I30"/>
    </sheetView>
  </sheetViews>
  <sheetFormatPr defaultRowHeight="12.75"/>
  <cols>
    <col min="1" max="1" width="117.5703125" style="46" customWidth="1"/>
    <col min="2" max="2" width="62" style="46" bestFit="1" customWidth="1"/>
    <col min="3" max="3" width="13.28515625" style="46" bestFit="1" customWidth="1"/>
    <col min="4" max="4" width="37.140625" style="46" bestFit="1" customWidth="1"/>
    <col min="5" max="5" width="11" style="46" bestFit="1" customWidth="1"/>
    <col min="6" max="6" width="23.85546875" style="46" bestFit="1" customWidth="1"/>
    <col min="7" max="7" width="13.42578125" style="46" bestFit="1" customWidth="1"/>
    <col min="8" max="8" width="17.7109375" style="46" bestFit="1" customWidth="1"/>
    <col min="9" max="9" width="7" style="46" bestFit="1" customWidth="1"/>
    <col min="10" max="10" width="12" style="46" bestFit="1" customWidth="1"/>
    <col min="11" max="13" width="10.85546875" style="46" bestFit="1" customWidth="1"/>
    <col min="14" max="23" width="9.140625" style="46"/>
    <col min="24" max="24" width="0" style="46" hidden="1" customWidth="1"/>
    <col min="25" max="16384" width="9.140625" style="46"/>
  </cols>
  <sheetData>
    <row r="1" spans="1:26">
      <c r="A1" s="46" t="s">
        <v>0</v>
      </c>
      <c r="B1" s="46">
        <v>13</v>
      </c>
      <c r="N1" s="46" t="str">
        <f ca="1">UPPER(CONCATENATE(DEC2HEX(RANDBETWEEN(0,POWER(16,8)),8),DEC2HEX(RANDBETWEEN(0,POWER(16,4)),4),"4",DEC2HEX(RANDBETWEEN(0,POWER(16,3)),3),DEC2HEX(RANDBETWEEN(8,11)),DEC2HEX(RANDBETWEEN(0,POWER(16,3)),3),DEC2HEX(RANDBETWEEN(0,POWER(16,8)),8),DEC2HEX(RANDBETWEEN(0,POWER(16,4)),4)))</f>
        <v>C321FA7A425F47A9B5F145FC43571EFB</v>
      </c>
    </row>
    <row r="2" spans="1:26">
      <c r="A2" s="362" t="s">
        <v>5</v>
      </c>
      <c r="B2" s="363" t="s">
        <v>767</v>
      </c>
      <c r="C2" s="364"/>
      <c r="D2" s="345"/>
      <c r="E2" s="345"/>
      <c r="F2" s="345"/>
      <c r="G2" s="345"/>
      <c r="H2" s="345"/>
      <c r="I2" s="345"/>
      <c r="J2" s="345"/>
      <c r="K2" s="345"/>
      <c r="L2" s="345"/>
      <c r="M2" s="345"/>
    </row>
    <row r="3" spans="1:26">
      <c r="A3" s="338" t="s">
        <v>7</v>
      </c>
      <c r="B3" s="46" t="s">
        <v>779</v>
      </c>
      <c r="C3" s="337"/>
    </row>
    <row r="4" spans="1:26">
      <c r="A4" s="338" t="s">
        <v>9</v>
      </c>
      <c r="B4" s="46" t="s">
        <v>1055</v>
      </c>
      <c r="C4" s="337"/>
    </row>
    <row r="5" spans="1:26" ht="25.5">
      <c r="A5" s="338" t="s">
        <v>11</v>
      </c>
      <c r="B5" s="339" t="s">
        <v>828</v>
      </c>
    </row>
    <row r="6" spans="1:26">
      <c r="A6" s="338" t="s">
        <v>13</v>
      </c>
      <c r="B6" s="46" t="s">
        <v>14</v>
      </c>
    </row>
    <row r="7" spans="1:26">
      <c r="A7" s="338" t="s">
        <v>15</v>
      </c>
      <c r="B7" s="46">
        <v>1</v>
      </c>
    </row>
    <row r="8" spans="1:26">
      <c r="A8" s="338" t="s">
        <v>16</v>
      </c>
      <c r="B8" s="46" t="s">
        <v>17</v>
      </c>
    </row>
    <row r="9" spans="1:26">
      <c r="A9" s="338" t="s">
        <v>18</v>
      </c>
      <c r="B9" s="46" t="s">
        <v>18</v>
      </c>
    </row>
    <row r="10" spans="1:26">
      <c r="A10" s="335" t="s">
        <v>19</v>
      </c>
    </row>
    <row r="11" spans="1:26">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row>
    <row r="12" spans="1:26">
      <c r="A12" s="363" t="s">
        <v>767</v>
      </c>
      <c r="B12" s="46">
        <v>1</v>
      </c>
      <c r="C12" s="46" t="s">
        <v>18</v>
      </c>
      <c r="D12" s="46" t="s">
        <v>2</v>
      </c>
      <c r="E12" s="46" t="s">
        <v>29</v>
      </c>
      <c r="F12" s="32" t="s">
        <v>14</v>
      </c>
      <c r="G12" s="46" t="s">
        <v>30</v>
      </c>
      <c r="H12" s="46">
        <v>1</v>
      </c>
      <c r="I12" s="46">
        <v>1</v>
      </c>
      <c r="J12" s="46" t="s">
        <v>31</v>
      </c>
      <c r="K12" s="46" t="s">
        <v>31</v>
      </c>
      <c r="L12" s="46" t="s">
        <v>31</v>
      </c>
      <c r="M12" s="46" t="s">
        <v>31</v>
      </c>
    </row>
    <row r="13" spans="1:26">
      <c r="A13" s="387" t="s">
        <v>787</v>
      </c>
      <c r="B13" s="46">
        <f>Z13</f>
        <v>7.8E-2</v>
      </c>
      <c r="C13" s="46" t="s">
        <v>37</v>
      </c>
      <c r="D13" s="46" t="s">
        <v>2</v>
      </c>
      <c r="E13" s="46" t="s">
        <v>29</v>
      </c>
      <c r="F13" s="32" t="s">
        <v>14</v>
      </c>
      <c r="G13" s="46" t="s">
        <v>33</v>
      </c>
      <c r="H13" s="46">
        <v>1</v>
      </c>
      <c r="I13" s="46">
        <f>B13</f>
        <v>7.8E-2</v>
      </c>
      <c r="J13" s="46" t="s">
        <v>31</v>
      </c>
      <c r="K13" s="46" t="s">
        <v>31</v>
      </c>
      <c r="L13" s="46" t="s">
        <v>31</v>
      </c>
      <c r="M13" s="46" t="s">
        <v>31</v>
      </c>
      <c r="U13" s="388" t="s">
        <v>965</v>
      </c>
      <c r="V13" s="388" t="s">
        <v>575</v>
      </c>
      <c r="W13" s="389">
        <v>78</v>
      </c>
      <c r="Y13" s="46" t="s">
        <v>221</v>
      </c>
      <c r="Z13" s="46">
        <f>0.001*W13</f>
        <v>7.8E-2</v>
      </c>
    </row>
    <row r="14" spans="1:26">
      <c r="A14" s="387" t="s">
        <v>813</v>
      </c>
      <c r="B14" s="46">
        <f t="shared" ref="B14:B27" si="0">Z14</f>
        <v>9.8000000000000004E-2</v>
      </c>
      <c r="C14" s="46" t="s">
        <v>37</v>
      </c>
      <c r="D14" s="46" t="s">
        <v>2</v>
      </c>
      <c r="E14" s="46" t="s">
        <v>29</v>
      </c>
      <c r="F14" s="32" t="s">
        <v>14</v>
      </c>
      <c r="G14" s="46" t="s">
        <v>33</v>
      </c>
      <c r="H14" s="46">
        <v>1</v>
      </c>
      <c r="I14" s="46">
        <f t="shared" ref="I14:I30" si="1">B14</f>
        <v>9.8000000000000004E-2</v>
      </c>
      <c r="J14" s="46" t="s">
        <v>31</v>
      </c>
      <c r="K14" s="46" t="s">
        <v>31</v>
      </c>
      <c r="L14" s="46" t="s">
        <v>31</v>
      </c>
      <c r="M14" s="46" t="s">
        <v>31</v>
      </c>
      <c r="U14" s="388" t="s">
        <v>966</v>
      </c>
      <c r="V14" s="388" t="s">
        <v>575</v>
      </c>
      <c r="W14" s="389">
        <v>98</v>
      </c>
      <c r="Y14" s="46" t="s">
        <v>221</v>
      </c>
      <c r="Z14" s="46">
        <f>0.001*W14</f>
        <v>9.8000000000000004E-2</v>
      </c>
    </row>
    <row r="15" spans="1:26">
      <c r="A15" s="138" t="s">
        <v>829</v>
      </c>
      <c r="B15" s="46">
        <f t="shared" si="0"/>
        <v>2.23</v>
      </c>
      <c r="C15" s="46" t="s">
        <v>37</v>
      </c>
      <c r="D15" s="46" t="s">
        <v>40</v>
      </c>
      <c r="E15" s="46" t="s">
        <v>29</v>
      </c>
      <c r="F15" s="32" t="s">
        <v>58</v>
      </c>
      <c r="G15" s="46" t="s">
        <v>33</v>
      </c>
      <c r="H15" s="46">
        <v>1</v>
      </c>
      <c r="I15" s="46">
        <f t="shared" si="1"/>
        <v>2.23</v>
      </c>
      <c r="J15" s="46" t="s">
        <v>31</v>
      </c>
      <c r="K15" s="46" t="s">
        <v>31</v>
      </c>
      <c r="L15" s="46" t="s">
        <v>31</v>
      </c>
      <c r="M15" s="46" t="s">
        <v>31</v>
      </c>
      <c r="U15" s="388" t="s">
        <v>967</v>
      </c>
      <c r="V15" s="388" t="s">
        <v>221</v>
      </c>
      <c r="W15" s="389">
        <v>2.23</v>
      </c>
      <c r="Y15" s="46" t="s">
        <v>221</v>
      </c>
      <c r="Z15" s="46">
        <f>W15</f>
        <v>2.23</v>
      </c>
    </row>
    <row r="16" spans="1:26">
      <c r="A16" s="387" t="s">
        <v>1056</v>
      </c>
      <c r="B16" s="46">
        <f t="shared" si="0"/>
        <v>2.5</v>
      </c>
      <c r="C16" s="46" t="s">
        <v>37</v>
      </c>
      <c r="D16" s="46" t="s">
        <v>2</v>
      </c>
      <c r="E16" s="46" t="s">
        <v>29</v>
      </c>
      <c r="F16" s="32" t="s">
        <v>14</v>
      </c>
      <c r="G16" s="46" t="s">
        <v>33</v>
      </c>
      <c r="H16" s="46">
        <v>1</v>
      </c>
      <c r="I16" s="46">
        <f t="shared" si="1"/>
        <v>2.5</v>
      </c>
      <c r="J16" s="46" t="s">
        <v>31</v>
      </c>
      <c r="K16" s="46" t="s">
        <v>31</v>
      </c>
      <c r="L16" s="46" t="s">
        <v>31</v>
      </c>
      <c r="M16" s="46" t="s">
        <v>31</v>
      </c>
      <c r="U16" s="388" t="s">
        <v>969</v>
      </c>
      <c r="V16" s="388" t="s">
        <v>221</v>
      </c>
      <c r="W16" s="389">
        <v>2.5</v>
      </c>
      <c r="Y16" s="46" t="s">
        <v>221</v>
      </c>
      <c r="Z16" s="46">
        <f>W16</f>
        <v>2.5</v>
      </c>
    </row>
    <row r="17" spans="1:29">
      <c r="A17" s="471" t="s">
        <v>1057</v>
      </c>
      <c r="B17" s="46">
        <f t="shared" si="0"/>
        <v>4.3749999999999997E-2</v>
      </c>
      <c r="C17" s="46" t="s">
        <v>113</v>
      </c>
      <c r="D17" s="46" t="s">
        <v>2</v>
      </c>
      <c r="E17" s="46" t="s">
        <v>29</v>
      </c>
      <c r="F17" s="32" t="s">
        <v>14</v>
      </c>
      <c r="G17" s="46" t="s">
        <v>33</v>
      </c>
      <c r="H17" s="46">
        <v>1</v>
      </c>
      <c r="I17" s="46">
        <f t="shared" si="1"/>
        <v>4.3749999999999997E-2</v>
      </c>
      <c r="J17" s="46" t="s">
        <v>31</v>
      </c>
      <c r="K17" s="46" t="s">
        <v>31</v>
      </c>
      <c r="L17" s="46" t="s">
        <v>31</v>
      </c>
      <c r="M17" s="46" t="s">
        <v>31</v>
      </c>
      <c r="O17" s="46" t="s">
        <v>971</v>
      </c>
      <c r="U17" s="451" t="s">
        <v>972</v>
      </c>
      <c r="V17" s="451" t="s">
        <v>575</v>
      </c>
      <c r="W17" s="389">
        <v>245</v>
      </c>
      <c r="Y17" s="46" t="s">
        <v>605</v>
      </c>
      <c r="Z17" s="46">
        <f>W17*0.001*AB17</f>
        <v>4.3749999999999997E-2</v>
      </c>
      <c r="AB17" s="46">
        <f>'2C. Reusable'!P38</f>
        <v>0.17857142857142858</v>
      </c>
      <c r="AC17" s="46" t="s">
        <v>832</v>
      </c>
    </row>
    <row r="18" spans="1:29">
      <c r="A18" s="387" t="s">
        <v>1058</v>
      </c>
      <c r="B18" s="46">
        <f t="shared" si="0"/>
        <v>0.40500000000000003</v>
      </c>
      <c r="C18" s="46" t="s">
        <v>37</v>
      </c>
      <c r="D18" s="46" t="s">
        <v>2</v>
      </c>
      <c r="E18" s="46" t="s">
        <v>29</v>
      </c>
      <c r="F18" s="32" t="s">
        <v>14</v>
      </c>
      <c r="G18" s="46" t="s">
        <v>33</v>
      </c>
      <c r="H18" s="46">
        <v>1</v>
      </c>
      <c r="I18" s="46">
        <f t="shared" si="1"/>
        <v>0.40500000000000003</v>
      </c>
      <c r="J18" s="46" t="s">
        <v>31</v>
      </c>
      <c r="K18" s="46" t="s">
        <v>31</v>
      </c>
      <c r="L18" s="46" t="s">
        <v>31</v>
      </c>
      <c r="M18" s="46" t="s">
        <v>31</v>
      </c>
      <c r="U18" s="451" t="s">
        <v>974</v>
      </c>
      <c r="V18" s="388" t="s">
        <v>575</v>
      </c>
      <c r="W18" s="389">
        <v>405</v>
      </c>
      <c r="Y18" s="46" t="s">
        <v>221</v>
      </c>
      <c r="Z18" s="46">
        <f>0.001*W18</f>
        <v>0.40500000000000003</v>
      </c>
    </row>
    <row r="19" spans="1:29">
      <c r="A19" s="121" t="s">
        <v>834</v>
      </c>
      <c r="B19" s="46">
        <f t="shared" si="0"/>
        <v>2E-3</v>
      </c>
      <c r="C19" s="46" t="s">
        <v>37</v>
      </c>
      <c r="D19" s="46" t="s">
        <v>40</v>
      </c>
      <c r="E19" s="46" t="s">
        <v>29</v>
      </c>
      <c r="F19" s="32" t="s">
        <v>35</v>
      </c>
      <c r="G19" s="46" t="s">
        <v>33</v>
      </c>
      <c r="H19" s="46">
        <v>1</v>
      </c>
      <c r="I19" s="46">
        <f t="shared" si="1"/>
        <v>2E-3</v>
      </c>
      <c r="J19" s="46" t="s">
        <v>31</v>
      </c>
      <c r="K19" s="46" t="s">
        <v>31</v>
      </c>
      <c r="L19" s="46" t="s">
        <v>31</v>
      </c>
      <c r="M19" s="46" t="s">
        <v>31</v>
      </c>
      <c r="N19" s="338" t="s">
        <v>835</v>
      </c>
      <c r="U19" s="388" t="s">
        <v>835</v>
      </c>
      <c r="V19" s="388" t="s">
        <v>575</v>
      </c>
      <c r="W19" s="389">
        <v>2</v>
      </c>
      <c r="Y19" s="46" t="s">
        <v>221</v>
      </c>
      <c r="Z19" s="46">
        <f>0.001*W19</f>
        <v>2E-3</v>
      </c>
    </row>
    <row r="20" spans="1:29">
      <c r="A20" s="121" t="s">
        <v>601</v>
      </c>
      <c r="B20" s="46">
        <f t="shared" si="0"/>
        <v>1.3000000000000001E-2</v>
      </c>
      <c r="C20" s="46" t="s">
        <v>37</v>
      </c>
      <c r="D20" s="46" t="s">
        <v>40</v>
      </c>
      <c r="E20" s="46" t="s">
        <v>29</v>
      </c>
      <c r="F20" s="32" t="s">
        <v>35</v>
      </c>
      <c r="G20" s="46" t="s">
        <v>33</v>
      </c>
      <c r="H20" s="46">
        <v>1</v>
      </c>
      <c r="I20" s="46">
        <f t="shared" si="1"/>
        <v>1.3000000000000001E-2</v>
      </c>
      <c r="J20" s="46" t="s">
        <v>31</v>
      </c>
      <c r="K20" s="46" t="s">
        <v>31</v>
      </c>
      <c r="L20" s="46" t="s">
        <v>31</v>
      </c>
      <c r="M20" s="46" t="s">
        <v>31</v>
      </c>
      <c r="N20" s="338" t="s">
        <v>836</v>
      </c>
      <c r="U20" s="451" t="s">
        <v>836</v>
      </c>
      <c r="V20" s="388" t="s">
        <v>575</v>
      </c>
      <c r="W20" s="389">
        <v>13</v>
      </c>
      <c r="Y20" s="46" t="s">
        <v>221</v>
      </c>
      <c r="Z20" s="46">
        <f t="shared" ref="Z20:Z22" si="2">0.001*W20</f>
        <v>1.3000000000000001E-2</v>
      </c>
    </row>
    <row r="21" spans="1:29">
      <c r="A21" s="121" t="s">
        <v>834</v>
      </c>
      <c r="B21" s="46">
        <f t="shared" si="0"/>
        <v>2E-3</v>
      </c>
      <c r="C21" s="46" t="s">
        <v>37</v>
      </c>
      <c r="D21" s="46" t="s">
        <v>40</v>
      </c>
      <c r="E21" s="46" t="s">
        <v>29</v>
      </c>
      <c r="F21" s="32" t="s">
        <v>35</v>
      </c>
      <c r="G21" s="46" t="s">
        <v>33</v>
      </c>
      <c r="H21" s="46">
        <v>1</v>
      </c>
      <c r="I21" s="46">
        <f t="shared" si="1"/>
        <v>2E-3</v>
      </c>
      <c r="J21" s="46" t="s">
        <v>31</v>
      </c>
      <c r="K21" s="46" t="s">
        <v>31</v>
      </c>
      <c r="L21" s="46" t="s">
        <v>31</v>
      </c>
      <c r="M21" s="46" t="s">
        <v>31</v>
      </c>
      <c r="N21" s="338" t="s">
        <v>837</v>
      </c>
      <c r="U21" s="451" t="s">
        <v>837</v>
      </c>
      <c r="V21" s="388" t="s">
        <v>575</v>
      </c>
      <c r="W21" s="389">
        <v>2</v>
      </c>
      <c r="Y21" s="46" t="s">
        <v>221</v>
      </c>
      <c r="Z21" s="46">
        <f t="shared" si="2"/>
        <v>2E-3</v>
      </c>
    </row>
    <row r="22" spans="1:29">
      <c r="A22" s="121" t="s">
        <v>975</v>
      </c>
      <c r="B22" s="46">
        <f t="shared" si="0"/>
        <v>2E-3</v>
      </c>
      <c r="C22" s="46" t="s">
        <v>37</v>
      </c>
      <c r="D22" s="46" t="s">
        <v>40</v>
      </c>
      <c r="E22" s="46" t="s">
        <v>29</v>
      </c>
      <c r="F22" s="32" t="s">
        <v>35</v>
      </c>
      <c r="G22" s="46" t="s">
        <v>33</v>
      </c>
      <c r="H22" s="46">
        <v>1</v>
      </c>
      <c r="I22" s="46">
        <f t="shared" si="1"/>
        <v>2E-3</v>
      </c>
      <c r="J22" s="46" t="s">
        <v>31</v>
      </c>
      <c r="K22" s="46" t="s">
        <v>31</v>
      </c>
      <c r="L22" s="46" t="s">
        <v>31</v>
      </c>
      <c r="M22" s="46" t="s">
        <v>31</v>
      </c>
      <c r="N22" s="338" t="s">
        <v>837</v>
      </c>
      <c r="U22" s="451" t="s">
        <v>837</v>
      </c>
      <c r="V22" s="388" t="s">
        <v>575</v>
      </c>
      <c r="W22" s="389">
        <v>2</v>
      </c>
      <c r="Y22" s="46" t="s">
        <v>221</v>
      </c>
      <c r="Z22" s="46">
        <f t="shared" si="2"/>
        <v>2E-3</v>
      </c>
    </row>
    <row r="23" spans="1:29">
      <c r="A23" s="138" t="s">
        <v>1059</v>
      </c>
      <c r="B23" s="46">
        <f t="shared" si="0"/>
        <v>3.42</v>
      </c>
      <c r="C23" s="46" t="s">
        <v>37</v>
      </c>
      <c r="D23" s="46" t="s">
        <v>2</v>
      </c>
      <c r="E23" s="46" t="s">
        <v>29</v>
      </c>
      <c r="F23" s="32" t="s">
        <v>14</v>
      </c>
      <c r="G23" s="46" t="s">
        <v>33</v>
      </c>
      <c r="H23" s="46">
        <v>1</v>
      </c>
      <c r="I23" s="46">
        <f t="shared" si="1"/>
        <v>3.42</v>
      </c>
      <c r="J23" s="46" t="s">
        <v>31</v>
      </c>
      <c r="K23" s="46" t="s">
        <v>31</v>
      </c>
      <c r="L23" s="46" t="s">
        <v>31</v>
      </c>
      <c r="M23" s="46" t="s">
        <v>31</v>
      </c>
      <c r="N23" s="338" t="s">
        <v>977</v>
      </c>
      <c r="U23" s="388" t="s">
        <v>977</v>
      </c>
      <c r="V23" s="388" t="s">
        <v>221</v>
      </c>
      <c r="W23" s="389">
        <v>3.42</v>
      </c>
      <c r="Y23" s="46" t="s">
        <v>221</v>
      </c>
      <c r="Z23" s="46">
        <f>W23</f>
        <v>3.42</v>
      </c>
    </row>
    <row r="24" spans="1:29">
      <c r="A24" s="387" t="s">
        <v>1060</v>
      </c>
      <c r="B24" s="350">
        <f>'2C. Machined casing'!B7</f>
        <v>6.89</v>
      </c>
      <c r="C24" s="46" t="s">
        <v>37</v>
      </c>
      <c r="D24" s="46" t="s">
        <v>2</v>
      </c>
      <c r="E24" s="46" t="s">
        <v>29</v>
      </c>
      <c r="F24" s="32" t="s">
        <v>14</v>
      </c>
      <c r="G24" s="46" t="s">
        <v>33</v>
      </c>
      <c r="H24" s="46">
        <v>1</v>
      </c>
      <c r="I24" s="46">
        <f t="shared" si="1"/>
        <v>6.89</v>
      </c>
      <c r="J24" s="46" t="s">
        <v>31</v>
      </c>
      <c r="K24" s="46" t="s">
        <v>31</v>
      </c>
      <c r="L24" s="46" t="s">
        <v>31</v>
      </c>
      <c r="M24" s="46" t="s">
        <v>31</v>
      </c>
      <c r="N24" s="338" t="s">
        <v>840</v>
      </c>
      <c r="U24" s="388" t="s">
        <v>979</v>
      </c>
      <c r="V24" s="392" t="s">
        <v>221</v>
      </c>
      <c r="W24" s="389">
        <v>7.13</v>
      </c>
      <c r="Y24" s="46" t="s">
        <v>221</v>
      </c>
      <c r="Z24" s="46">
        <f>W24</f>
        <v>7.13</v>
      </c>
    </row>
    <row r="25" spans="1:29">
      <c r="A25" s="121" t="s">
        <v>842</v>
      </c>
      <c r="B25" s="46">
        <f t="shared" si="0"/>
        <v>6.9000000000000006E-2</v>
      </c>
      <c r="C25" s="46" t="s">
        <v>37</v>
      </c>
      <c r="D25" s="46" t="s">
        <v>40</v>
      </c>
      <c r="E25" s="46" t="s">
        <v>29</v>
      </c>
      <c r="F25" s="32" t="s">
        <v>128</v>
      </c>
      <c r="G25" s="46" t="s">
        <v>33</v>
      </c>
      <c r="H25" s="46">
        <v>1</v>
      </c>
      <c r="I25" s="46">
        <f t="shared" si="1"/>
        <v>6.9000000000000006E-2</v>
      </c>
      <c r="J25" s="46" t="s">
        <v>31</v>
      </c>
      <c r="K25" s="46" t="s">
        <v>31</v>
      </c>
      <c r="L25" s="46" t="s">
        <v>31</v>
      </c>
      <c r="M25" s="46" t="s">
        <v>31</v>
      </c>
      <c r="N25" s="338" t="s">
        <v>843</v>
      </c>
      <c r="U25" s="393" t="s">
        <v>843</v>
      </c>
      <c r="V25" s="393" t="s">
        <v>575</v>
      </c>
      <c r="W25" s="394">
        <v>69</v>
      </c>
      <c r="Y25" s="46" t="s">
        <v>221</v>
      </c>
      <c r="Z25" s="46">
        <f>0.001*W25</f>
        <v>6.9000000000000006E-2</v>
      </c>
    </row>
    <row r="26" spans="1:29">
      <c r="A26" s="121" t="s">
        <v>844</v>
      </c>
      <c r="B26" s="46">
        <f t="shared" si="0"/>
        <v>1.4999999999999999E-2</v>
      </c>
      <c r="C26" s="46" t="s">
        <v>37</v>
      </c>
      <c r="D26" s="46" t="s">
        <v>40</v>
      </c>
      <c r="E26" s="46" t="s">
        <v>29</v>
      </c>
      <c r="F26" s="32" t="s">
        <v>58</v>
      </c>
      <c r="G26" s="46" t="s">
        <v>33</v>
      </c>
      <c r="H26" s="46">
        <v>1</v>
      </c>
      <c r="I26" s="46">
        <f t="shared" si="1"/>
        <v>1.4999999999999999E-2</v>
      </c>
      <c r="J26" s="46" t="s">
        <v>31</v>
      </c>
      <c r="K26" s="46" t="s">
        <v>31</v>
      </c>
      <c r="L26" s="46" t="s">
        <v>31</v>
      </c>
      <c r="M26" s="46" t="s">
        <v>31</v>
      </c>
      <c r="N26" s="46" t="s">
        <v>845</v>
      </c>
      <c r="U26" s="393" t="s">
        <v>845</v>
      </c>
      <c r="V26" s="393" t="s">
        <v>575</v>
      </c>
      <c r="W26" s="394">
        <v>15</v>
      </c>
      <c r="Y26" s="46" t="s">
        <v>221</v>
      </c>
      <c r="Z26" s="46">
        <f t="shared" ref="Z26:Z27" si="3">0.001*W26</f>
        <v>1.4999999999999999E-2</v>
      </c>
    </row>
    <row r="27" spans="1:29">
      <c r="A27" s="121" t="s">
        <v>601</v>
      </c>
      <c r="B27" s="46">
        <f t="shared" si="0"/>
        <v>1.4999999999999999E-2</v>
      </c>
      <c r="C27" s="46" t="s">
        <v>37</v>
      </c>
      <c r="D27" s="46" t="s">
        <v>40</v>
      </c>
      <c r="E27" s="46" t="s">
        <v>29</v>
      </c>
      <c r="F27" s="32" t="s">
        <v>35</v>
      </c>
      <c r="G27" s="46" t="s">
        <v>33</v>
      </c>
      <c r="H27" s="46">
        <v>1</v>
      </c>
      <c r="I27" s="46">
        <f t="shared" si="1"/>
        <v>1.4999999999999999E-2</v>
      </c>
      <c r="J27" s="46" t="s">
        <v>31</v>
      </c>
      <c r="K27" s="46" t="s">
        <v>31</v>
      </c>
      <c r="L27" s="46" t="s">
        <v>31</v>
      </c>
      <c r="M27" s="46" t="s">
        <v>31</v>
      </c>
      <c r="N27" s="46" t="s">
        <v>846</v>
      </c>
      <c r="U27" s="393" t="s">
        <v>846</v>
      </c>
      <c r="V27" s="393" t="s">
        <v>575</v>
      </c>
      <c r="W27" s="394">
        <v>15</v>
      </c>
      <c r="Y27" s="46" t="s">
        <v>221</v>
      </c>
      <c r="Z27" s="46">
        <f t="shared" si="3"/>
        <v>1.4999999999999999E-2</v>
      </c>
    </row>
    <row r="28" spans="1:29">
      <c r="A28" s="452" t="s">
        <v>75</v>
      </c>
      <c r="B28" s="46">
        <v>1.6</v>
      </c>
      <c r="C28" s="46" t="s">
        <v>39</v>
      </c>
      <c r="D28" s="46" t="s">
        <v>40</v>
      </c>
      <c r="E28" s="46" t="s">
        <v>29</v>
      </c>
      <c r="F28" s="46" t="s">
        <v>14</v>
      </c>
      <c r="G28" s="46" t="s">
        <v>33</v>
      </c>
      <c r="H28" s="46">
        <v>1</v>
      </c>
      <c r="I28" s="46">
        <f t="shared" si="1"/>
        <v>1.6</v>
      </c>
      <c r="J28" s="46" t="s">
        <v>31</v>
      </c>
      <c r="K28" s="46" t="s">
        <v>31</v>
      </c>
      <c r="L28" s="46" t="s">
        <v>31</v>
      </c>
      <c r="M28" s="46" t="s">
        <v>31</v>
      </c>
      <c r="N28" s="46" t="s">
        <v>980</v>
      </c>
      <c r="U28" s="388"/>
      <c r="V28" s="392"/>
      <c r="W28" s="389"/>
    </row>
    <row r="29" spans="1:29">
      <c r="A29" s="452" t="s">
        <v>75</v>
      </c>
      <c r="B29" s="46">
        <v>3.9</v>
      </c>
      <c r="C29" s="46" t="s">
        <v>39</v>
      </c>
      <c r="D29" s="46" t="s">
        <v>40</v>
      </c>
      <c r="E29" s="46" t="s">
        <v>29</v>
      </c>
      <c r="F29" s="46" t="s">
        <v>14</v>
      </c>
      <c r="G29" s="46" t="s">
        <v>33</v>
      </c>
      <c r="H29" s="46">
        <v>1</v>
      </c>
      <c r="I29" s="46">
        <f t="shared" si="1"/>
        <v>3.9</v>
      </c>
      <c r="J29" s="46" t="s">
        <v>31</v>
      </c>
      <c r="K29" s="46" t="s">
        <v>31</v>
      </c>
      <c r="L29" s="46" t="s">
        <v>31</v>
      </c>
      <c r="M29" s="46" t="s">
        <v>31</v>
      </c>
      <c r="N29" s="46" t="s">
        <v>848</v>
      </c>
      <c r="W29" s="389"/>
    </row>
    <row r="30" spans="1:29">
      <c r="A30" s="452" t="s">
        <v>75</v>
      </c>
      <c r="B30" s="46">
        <v>1.5</v>
      </c>
      <c r="C30" s="46" t="s">
        <v>39</v>
      </c>
      <c r="D30" s="46" t="s">
        <v>40</v>
      </c>
      <c r="E30" s="46" t="s">
        <v>29</v>
      </c>
      <c r="F30" s="46" t="s">
        <v>14</v>
      </c>
      <c r="G30" s="46" t="s">
        <v>33</v>
      </c>
      <c r="H30" s="46">
        <v>1</v>
      </c>
      <c r="I30" s="46">
        <f t="shared" si="1"/>
        <v>1.5</v>
      </c>
      <c r="J30" s="46" t="s">
        <v>31</v>
      </c>
      <c r="K30" s="46" t="s">
        <v>31</v>
      </c>
      <c r="L30" s="46" t="s">
        <v>31</v>
      </c>
      <c r="M30" s="46" t="s">
        <v>31</v>
      </c>
      <c r="N30" s="46" t="s">
        <v>849</v>
      </c>
    </row>
    <row r="31" spans="1:29">
      <c r="A31" s="362"/>
      <c r="B31" s="363"/>
      <c r="C31" s="364"/>
      <c r="D31" s="345"/>
      <c r="E31" s="345"/>
      <c r="F31" s="345"/>
      <c r="G31" s="345"/>
      <c r="H31" s="345"/>
      <c r="I31" s="345"/>
      <c r="J31" s="345"/>
      <c r="K31" s="345"/>
      <c r="L31" s="345"/>
      <c r="M31" s="345"/>
      <c r="N31" s="46" t="s">
        <v>1061</v>
      </c>
    </row>
    <row r="32" spans="1:29">
      <c r="A32" s="338"/>
      <c r="C32" s="337"/>
      <c r="N32" s="46" t="s">
        <v>851</v>
      </c>
      <c r="O32" s="400">
        <f>SUM(B13:B27)-B17+0.405</f>
        <v>16.144000000000002</v>
      </c>
    </row>
    <row r="33" spans="1:14">
      <c r="A33" s="338"/>
      <c r="C33" s="337"/>
    </row>
    <row r="34" spans="1:14">
      <c r="A34" s="338"/>
      <c r="B34" s="339"/>
    </row>
    <row r="36" spans="1:14">
      <c r="A36" s="338"/>
    </row>
    <row r="38" spans="1:14">
      <c r="A38" s="62"/>
      <c r="B38" s="412"/>
      <c r="F38" s="32"/>
    </row>
    <row r="39" spans="1:14">
      <c r="A39" s="335"/>
    </row>
    <row r="40" spans="1:14">
      <c r="A40" s="335"/>
      <c r="B40" s="336"/>
      <c r="C40" s="336"/>
      <c r="D40" s="336"/>
      <c r="E40" s="336"/>
      <c r="F40" s="336"/>
      <c r="G40" s="336"/>
      <c r="H40" s="336"/>
      <c r="I40" s="336"/>
      <c r="J40" s="336"/>
      <c r="K40" s="336"/>
      <c r="L40" s="336"/>
      <c r="M40" s="336"/>
      <c r="N40" s="336"/>
    </row>
    <row r="41" spans="1:14">
      <c r="A41" s="338"/>
      <c r="F41" s="32"/>
    </row>
    <row r="42" spans="1:14">
      <c r="A42" s="338"/>
      <c r="F42" s="32"/>
    </row>
    <row r="43" spans="1:14">
      <c r="A43" s="338"/>
      <c r="F43" s="32"/>
    </row>
    <row r="44" spans="1:14">
      <c r="A44" s="338"/>
      <c r="F44" s="32"/>
    </row>
    <row r="45" spans="1:14">
      <c r="A45" s="338"/>
      <c r="F45" s="32"/>
    </row>
    <row r="46" spans="1:14">
      <c r="A46" s="338"/>
      <c r="F46" s="32"/>
    </row>
    <row r="47" spans="1:14">
      <c r="A47" s="338"/>
      <c r="F47" s="32"/>
    </row>
    <row r="48" spans="1:14">
      <c r="A48" s="338"/>
      <c r="F48" s="32"/>
    </row>
    <row r="49" spans="1:6">
      <c r="A49" s="338"/>
      <c r="F49" s="32"/>
    </row>
    <row r="50" spans="1:6">
      <c r="A50" s="338"/>
      <c r="F50" s="32"/>
    </row>
    <row r="51" spans="1:6">
      <c r="A51" s="338"/>
      <c r="F51" s="32"/>
    </row>
    <row r="52" spans="1:6">
      <c r="A52" s="338"/>
      <c r="F52" s="32"/>
    </row>
    <row r="53" spans="1:6">
      <c r="A53" s="338"/>
      <c r="F53" s="32"/>
    </row>
    <row r="54" spans="1:6">
      <c r="A54" s="338"/>
      <c r="F54" s="32"/>
    </row>
    <row r="55" spans="1:6">
      <c r="F55" s="32"/>
    </row>
    <row r="57" spans="1:6">
      <c r="A57" s="338"/>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7AC3F-FAC7-40AF-B4E6-40E3FFEDEA7F}">
  <dimension ref="A1:Q49"/>
  <sheetViews>
    <sheetView tabSelected="1" topLeftCell="A4" workbookViewId="0">
      <selection activeCell="D50" sqref="D50"/>
    </sheetView>
  </sheetViews>
  <sheetFormatPr defaultColWidth="8.85546875" defaultRowHeight="1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7">
      <c r="A1" s="24" t="s">
        <v>0</v>
      </c>
      <c r="B1" s="24">
        <v>13</v>
      </c>
      <c r="C1" s="25"/>
    </row>
    <row r="2" spans="1:17" ht="15.75">
      <c r="A2" s="29" t="s">
        <v>5</v>
      </c>
      <c r="B2" s="29" t="s">
        <v>34</v>
      </c>
      <c r="C2" s="30"/>
      <c r="D2" s="31"/>
      <c r="E2" s="31"/>
      <c r="F2" s="31"/>
      <c r="G2" s="31"/>
      <c r="H2" s="31"/>
      <c r="I2" s="31"/>
      <c r="J2" s="31"/>
      <c r="K2" s="31"/>
      <c r="L2" s="31"/>
      <c r="M2" s="31"/>
      <c r="N2" s="31"/>
    </row>
    <row r="3" spans="1:17" s="26" customFormat="1" ht="12.75">
      <c r="A3" s="26" t="s">
        <v>7</v>
      </c>
      <c r="B3" s="26" t="s">
        <v>59</v>
      </c>
      <c r="O3" s="492" t="s">
        <v>60</v>
      </c>
      <c r="P3" s="493"/>
      <c r="Q3" s="494"/>
    </row>
    <row r="4" spans="1:17" s="26" customFormat="1" ht="12.75">
      <c r="A4" s="26" t="s">
        <v>9</v>
      </c>
      <c r="B4" s="26" t="s">
        <v>61</v>
      </c>
      <c r="O4" s="69" t="s">
        <v>62</v>
      </c>
      <c r="P4" s="70" t="s">
        <v>63</v>
      </c>
      <c r="Q4" s="71" t="s">
        <v>64</v>
      </c>
    </row>
    <row r="5" spans="1:17" s="26" customFormat="1" ht="12.75">
      <c r="A5" s="26" t="s">
        <v>11</v>
      </c>
      <c r="B5" s="26" t="s">
        <v>65</v>
      </c>
      <c r="O5" s="72" t="s">
        <v>34</v>
      </c>
      <c r="P5" s="73">
        <v>1</v>
      </c>
      <c r="Q5" s="74">
        <f>P5/P5</f>
        <v>1</v>
      </c>
    </row>
    <row r="6" spans="1:17" s="26" customFormat="1" ht="12.75">
      <c r="A6" s="26" t="s">
        <v>13</v>
      </c>
      <c r="B6" s="26" t="s">
        <v>35</v>
      </c>
      <c r="O6" s="72" t="s">
        <v>66</v>
      </c>
      <c r="P6" s="73">
        <v>100</v>
      </c>
      <c r="Q6" s="74">
        <f>P5/P6</f>
        <v>0.01</v>
      </c>
    </row>
    <row r="7" spans="1:17" s="26" customFormat="1" ht="12.75">
      <c r="A7" s="26" t="s">
        <v>15</v>
      </c>
      <c r="B7" s="32">
        <v>1</v>
      </c>
      <c r="O7" s="75" t="s">
        <v>67</v>
      </c>
      <c r="P7" s="76">
        <v>100</v>
      </c>
      <c r="Q7" s="77">
        <f>P5/P7</f>
        <v>0.01</v>
      </c>
    </row>
    <row r="8" spans="1:17" s="26" customFormat="1" ht="12.75">
      <c r="A8" s="26" t="s">
        <v>16</v>
      </c>
      <c r="B8" s="26" t="s">
        <v>17</v>
      </c>
    </row>
    <row r="9" spans="1:17" s="26" customFormat="1" ht="12.75">
      <c r="A9" s="26" t="s">
        <v>18</v>
      </c>
      <c r="B9" s="26" t="s">
        <v>18</v>
      </c>
    </row>
    <row r="10" spans="1:17" ht="15.75">
      <c r="A10" s="27" t="s">
        <v>19</v>
      </c>
    </row>
    <row r="11" spans="1:17" ht="15.75">
      <c r="A11" s="27" t="s">
        <v>20</v>
      </c>
      <c r="B11" s="27" t="s">
        <v>21</v>
      </c>
      <c r="C11" s="27" t="s">
        <v>18</v>
      </c>
      <c r="D11" s="27" t="s">
        <v>22</v>
      </c>
      <c r="E11" s="27" t="s">
        <v>7</v>
      </c>
      <c r="F11" s="27" t="s">
        <v>13</v>
      </c>
      <c r="G11" s="27" t="s">
        <v>16</v>
      </c>
      <c r="H11" s="27" t="s">
        <v>23</v>
      </c>
      <c r="I11" s="27" t="s">
        <v>24</v>
      </c>
      <c r="J11" s="27" t="s">
        <v>25</v>
      </c>
      <c r="K11" s="27" t="s">
        <v>26</v>
      </c>
      <c r="L11" s="27" t="s">
        <v>27</v>
      </c>
      <c r="M11" s="27" t="s">
        <v>28</v>
      </c>
      <c r="N11" s="27" t="s">
        <v>68</v>
      </c>
    </row>
    <row r="12" spans="1:17" s="26" customFormat="1" ht="12.75">
      <c r="A12" s="26" t="s">
        <v>34</v>
      </c>
      <c r="B12" s="26">
        <f>B7</f>
        <v>1</v>
      </c>
      <c r="C12" s="26" t="str">
        <f>B9</f>
        <v>unit</v>
      </c>
      <c r="D12" s="26" t="s">
        <v>2</v>
      </c>
      <c r="E12" s="26" t="s">
        <v>29</v>
      </c>
      <c r="F12" s="26" t="str">
        <f>B6</f>
        <v>RER</v>
      </c>
      <c r="G12" s="26" t="s">
        <v>30</v>
      </c>
      <c r="H12" s="26">
        <v>0</v>
      </c>
      <c r="I12" s="26">
        <f>B12</f>
        <v>1</v>
      </c>
      <c r="J12" s="26" t="s">
        <v>31</v>
      </c>
      <c r="K12" s="26" t="s">
        <v>31</v>
      </c>
      <c r="L12" s="26" t="s">
        <v>31</v>
      </c>
      <c r="M12" s="26" t="s">
        <v>31</v>
      </c>
    </row>
    <row r="13" spans="1:17" s="26" customFormat="1" ht="12.75">
      <c r="A13" s="32" t="s">
        <v>66</v>
      </c>
      <c r="B13" s="78">
        <f>1*Q6</f>
        <v>0.01</v>
      </c>
      <c r="C13" s="26" t="s">
        <v>18</v>
      </c>
      <c r="D13" s="26" t="s">
        <v>2</v>
      </c>
      <c r="E13" s="26" t="s">
        <v>29</v>
      </c>
      <c r="F13" s="26" t="s">
        <v>69</v>
      </c>
      <c r="G13" s="26" t="s">
        <v>33</v>
      </c>
      <c r="H13" s="26">
        <v>0</v>
      </c>
      <c r="I13" s="26">
        <f t="shared" ref="I13" si="0">B13</f>
        <v>0.01</v>
      </c>
      <c r="J13" s="26" t="s">
        <v>31</v>
      </c>
      <c r="K13" s="26" t="s">
        <v>31</v>
      </c>
      <c r="L13" s="26" t="s">
        <v>31</v>
      </c>
      <c r="M13" s="26" t="s">
        <v>31</v>
      </c>
      <c r="N13" s="26" t="s">
        <v>70</v>
      </c>
    </row>
    <row r="14" spans="1:17" s="26" customFormat="1" ht="12.75">
      <c r="A14" s="32" t="s">
        <v>71</v>
      </c>
      <c r="B14" s="34">
        <f>(0)*0.846</f>
        <v>0</v>
      </c>
      <c r="C14" s="26" t="s">
        <v>37</v>
      </c>
      <c r="D14" s="26" t="s">
        <v>40</v>
      </c>
      <c r="E14" s="26" t="s">
        <v>29</v>
      </c>
      <c r="F14" s="26" t="s">
        <v>58</v>
      </c>
      <c r="G14" s="26" t="s">
        <v>33</v>
      </c>
      <c r="H14" s="26">
        <v>0</v>
      </c>
      <c r="I14" s="26">
        <v>0</v>
      </c>
      <c r="J14" s="26">
        <v>1.0523125754508578</v>
      </c>
      <c r="K14" s="26" t="s">
        <v>31</v>
      </c>
      <c r="L14" s="26" t="s">
        <v>31</v>
      </c>
      <c r="M14" s="26" t="s">
        <v>31</v>
      </c>
      <c r="N14" s="26" t="s">
        <v>72</v>
      </c>
    </row>
    <row r="15" spans="1:17" s="26" customFormat="1" ht="12.75">
      <c r="A15" s="32" t="s">
        <v>73</v>
      </c>
      <c r="B15" s="34">
        <v>1170.7317073170732</v>
      </c>
      <c r="C15" s="26" t="s">
        <v>37</v>
      </c>
      <c r="D15" s="26" t="s">
        <v>40</v>
      </c>
      <c r="E15" s="26" t="s">
        <v>29</v>
      </c>
      <c r="F15" s="26" t="s">
        <v>58</v>
      </c>
      <c r="G15" s="26" t="s">
        <v>33</v>
      </c>
      <c r="H15" s="26">
        <v>2</v>
      </c>
      <c r="I15" s="26">
        <f>LN(B15)</f>
        <v>7.0653842231857205</v>
      </c>
      <c r="J15" s="26">
        <v>1.0268106203456886</v>
      </c>
      <c r="K15" s="26" t="s">
        <v>31</v>
      </c>
      <c r="L15" s="26" t="s">
        <v>31</v>
      </c>
      <c r="M15" s="26" t="s">
        <v>31</v>
      </c>
      <c r="N15" s="26" t="s">
        <v>74</v>
      </c>
    </row>
    <row r="16" spans="1:17" s="26" customFormat="1" ht="12.75">
      <c r="A16" s="32" t="s">
        <v>75</v>
      </c>
      <c r="B16" s="34">
        <f>3495301+(1200+14125+610+3600)</f>
        <v>3514836</v>
      </c>
      <c r="C16" s="26" t="s">
        <v>39</v>
      </c>
      <c r="D16" s="26" t="s">
        <v>40</v>
      </c>
      <c r="E16" s="26" t="s">
        <v>29</v>
      </c>
      <c r="F16" s="26" t="s">
        <v>14</v>
      </c>
      <c r="G16" s="26" t="s">
        <v>33</v>
      </c>
      <c r="H16" s="26">
        <v>2</v>
      </c>
      <c r="I16" s="26">
        <f>LN(B16)</f>
        <v>15.072503424954922</v>
      </c>
      <c r="J16" s="26">
        <v>1.0523125754508578</v>
      </c>
      <c r="K16" s="26" t="s">
        <v>31</v>
      </c>
      <c r="L16" s="26" t="s">
        <v>31</v>
      </c>
      <c r="M16" s="26" t="s">
        <v>31</v>
      </c>
      <c r="N16" s="26" t="s">
        <v>76</v>
      </c>
    </row>
    <row r="17" spans="1:14" s="26" customFormat="1" ht="12.75">
      <c r="A17" s="32" t="s">
        <v>77</v>
      </c>
      <c r="B17" s="34">
        <v>315000</v>
      </c>
      <c r="C17" s="26" t="s">
        <v>42</v>
      </c>
      <c r="D17" s="26" t="s">
        <v>40</v>
      </c>
      <c r="E17" s="26" t="s">
        <v>29</v>
      </c>
      <c r="F17" s="26" t="s">
        <v>14</v>
      </c>
      <c r="G17" s="26" t="s">
        <v>33</v>
      </c>
      <c r="H17" s="26">
        <v>2</v>
      </c>
      <c r="I17" s="26">
        <f>LN(B17)</f>
        <v>12.66032791780777</v>
      </c>
      <c r="J17" s="26">
        <v>1.0523125754508578</v>
      </c>
      <c r="K17" s="26" t="s">
        <v>31</v>
      </c>
      <c r="L17" s="26" t="s">
        <v>31</v>
      </c>
      <c r="M17" s="26" t="s">
        <v>31</v>
      </c>
      <c r="N17" s="26" t="s">
        <v>78</v>
      </c>
    </row>
    <row r="18" spans="1:14" s="26" customFormat="1" ht="12.75">
      <c r="A18" s="32" t="s">
        <v>79</v>
      </c>
      <c r="B18" s="34">
        <v>31369447</v>
      </c>
      <c r="C18" s="26" t="s">
        <v>37</v>
      </c>
      <c r="D18" s="26" t="s">
        <v>40</v>
      </c>
      <c r="E18" s="26" t="s">
        <v>29</v>
      </c>
      <c r="F18" s="26" t="s">
        <v>35</v>
      </c>
      <c r="G18" s="26" t="s">
        <v>33</v>
      </c>
      <c r="H18" s="26">
        <v>2</v>
      </c>
      <c r="I18" s="26">
        <f>LN(B18)</f>
        <v>17.261344951704181</v>
      </c>
      <c r="J18" s="26">
        <v>1.0268106203456886</v>
      </c>
      <c r="K18" s="26" t="s">
        <v>31</v>
      </c>
      <c r="L18" s="26" t="s">
        <v>31</v>
      </c>
      <c r="M18" s="26" t="s">
        <v>31</v>
      </c>
      <c r="N18" s="26" t="s">
        <v>80</v>
      </c>
    </row>
    <row r="19" spans="1:14" s="26" customFormat="1" ht="12.75">
      <c r="A19" s="32" t="s">
        <v>81</v>
      </c>
      <c r="B19" s="34">
        <f>0.437*2216688</f>
        <v>968692.65599999996</v>
      </c>
      <c r="C19" s="26" t="s">
        <v>37</v>
      </c>
      <c r="D19" s="26" t="s">
        <v>2</v>
      </c>
      <c r="E19" s="26" t="s">
        <v>29</v>
      </c>
      <c r="F19" s="26" t="s">
        <v>35</v>
      </c>
      <c r="G19" s="26" t="s">
        <v>33</v>
      </c>
      <c r="H19" s="26">
        <v>2</v>
      </c>
      <c r="I19" s="26">
        <f t="shared" ref="I19:I20" si="1">LN(B19)</f>
        <v>13.783702664091219</v>
      </c>
      <c r="J19" s="26">
        <v>1.223608598770918</v>
      </c>
      <c r="K19" s="26" t="s">
        <v>31</v>
      </c>
      <c r="L19" s="26" t="s">
        <v>31</v>
      </c>
      <c r="M19" s="26" t="s">
        <v>31</v>
      </c>
      <c r="N19" s="26" t="s">
        <v>82</v>
      </c>
    </row>
    <row r="20" spans="1:14" s="26" customFormat="1" ht="12.75">
      <c r="A20" s="32" t="s">
        <v>83</v>
      </c>
      <c r="B20" s="34">
        <f>0.35*1104428</f>
        <v>386549.8</v>
      </c>
      <c r="C20" s="26" t="s">
        <v>37</v>
      </c>
      <c r="D20" s="26" t="s">
        <v>2</v>
      </c>
      <c r="E20" s="26" t="s">
        <v>29</v>
      </c>
      <c r="F20" s="26" t="s">
        <v>35</v>
      </c>
      <c r="G20" s="26" t="s">
        <v>33</v>
      </c>
      <c r="H20" s="26">
        <v>2</v>
      </c>
      <c r="I20" s="26">
        <f t="shared" si="1"/>
        <v>12.865015987350997</v>
      </c>
      <c r="J20" s="26">
        <v>1.223608598770918</v>
      </c>
      <c r="K20" s="26" t="s">
        <v>31</v>
      </c>
      <c r="L20" s="26" t="s">
        <v>31</v>
      </c>
      <c r="M20" s="26" t="s">
        <v>31</v>
      </c>
      <c r="N20" s="26" t="s">
        <v>84</v>
      </c>
    </row>
    <row r="21" spans="1:14" s="26" customFormat="1" ht="12.75">
      <c r="A21" s="32" t="s">
        <v>85</v>
      </c>
      <c r="B21" s="78">
        <f>1*Q7</f>
        <v>0.01</v>
      </c>
      <c r="C21" s="26" t="s">
        <v>18</v>
      </c>
      <c r="D21" s="26" t="s">
        <v>2</v>
      </c>
      <c r="E21" s="26" t="s">
        <v>29</v>
      </c>
      <c r="F21" s="26" t="s">
        <v>35</v>
      </c>
      <c r="G21" s="26" t="s">
        <v>33</v>
      </c>
      <c r="H21" s="26">
        <v>0</v>
      </c>
      <c r="I21" s="26">
        <f t="shared" ref="I21" si="2">B21</f>
        <v>0.01</v>
      </c>
      <c r="J21" s="26" t="s">
        <v>31</v>
      </c>
      <c r="K21" s="26" t="s">
        <v>31</v>
      </c>
      <c r="L21" s="26" t="s">
        <v>31</v>
      </c>
      <c r="M21" s="26" t="s">
        <v>31</v>
      </c>
      <c r="N21" s="26" t="s">
        <v>86</v>
      </c>
    </row>
    <row r="22" spans="1:14" s="26" customFormat="1" ht="12.75">
      <c r="A22" s="32" t="s">
        <v>87</v>
      </c>
      <c r="B22" s="78">
        <f>1/20</f>
        <v>0.05</v>
      </c>
      <c r="C22" s="26" t="s">
        <v>18</v>
      </c>
      <c r="D22" s="26" t="s">
        <v>2</v>
      </c>
      <c r="E22" s="26" t="s">
        <v>29</v>
      </c>
      <c r="F22" s="26" t="s">
        <v>58</v>
      </c>
      <c r="G22" s="26" t="s">
        <v>33</v>
      </c>
      <c r="H22" s="26">
        <v>0</v>
      </c>
      <c r="I22" s="26">
        <f t="shared" ref="I22" si="3">B22</f>
        <v>0.05</v>
      </c>
      <c r="J22" s="26" t="s">
        <v>31</v>
      </c>
      <c r="K22" s="26" t="s">
        <v>31</v>
      </c>
      <c r="L22" s="26" t="s">
        <v>31</v>
      </c>
      <c r="M22" s="26" t="s">
        <v>31</v>
      </c>
    </row>
    <row r="23" spans="1:14" ht="15.75">
      <c r="A23" s="29" t="s">
        <v>5</v>
      </c>
      <c r="B23" s="29" t="s">
        <v>81</v>
      </c>
      <c r="C23" s="30"/>
      <c r="D23" s="31"/>
      <c r="E23" s="31"/>
      <c r="F23" s="31"/>
      <c r="G23" s="31"/>
      <c r="H23" s="31"/>
      <c r="I23" s="31"/>
      <c r="J23" s="31"/>
      <c r="K23" s="31"/>
      <c r="L23" s="31"/>
      <c r="M23" s="31"/>
      <c r="N23" s="31"/>
    </row>
    <row r="24" spans="1:14" s="26" customFormat="1" ht="12.75">
      <c r="A24" s="26" t="s">
        <v>7</v>
      </c>
      <c r="B24" s="26" t="s">
        <v>59</v>
      </c>
    </row>
    <row r="25" spans="1:14" s="26" customFormat="1" ht="12.75">
      <c r="A25" s="26" t="s">
        <v>9</v>
      </c>
      <c r="B25" s="26" t="s">
        <v>88</v>
      </c>
    </row>
    <row r="26" spans="1:14" s="26" customFormat="1" ht="12.75">
      <c r="A26" s="26" t="s">
        <v>11</v>
      </c>
      <c r="B26" s="26" t="s">
        <v>89</v>
      </c>
    </row>
    <row r="27" spans="1:14" s="26" customFormat="1" ht="12.75">
      <c r="A27" s="26" t="s">
        <v>13</v>
      </c>
      <c r="B27" s="26" t="s">
        <v>35</v>
      </c>
    </row>
    <row r="28" spans="1:14" s="26" customFormat="1" ht="12.75">
      <c r="A28" s="26" t="s">
        <v>15</v>
      </c>
      <c r="B28" s="32">
        <v>1</v>
      </c>
    </row>
    <row r="29" spans="1:14" s="26" customFormat="1" ht="12.75">
      <c r="A29" s="26" t="s">
        <v>16</v>
      </c>
      <c r="B29" s="26" t="s">
        <v>17</v>
      </c>
    </row>
    <row r="30" spans="1:14" s="26" customFormat="1" ht="12.75">
      <c r="A30" s="26" t="s">
        <v>18</v>
      </c>
      <c r="B30" s="26" t="s">
        <v>37</v>
      </c>
    </row>
    <row r="31" spans="1:14" ht="15.75">
      <c r="A31" s="27" t="s">
        <v>19</v>
      </c>
    </row>
    <row r="32" spans="1:14" ht="15.75">
      <c r="A32" s="27" t="s">
        <v>20</v>
      </c>
      <c r="B32" s="27" t="s">
        <v>21</v>
      </c>
      <c r="C32" s="27" t="s">
        <v>18</v>
      </c>
      <c r="D32" s="27" t="s">
        <v>22</v>
      </c>
      <c r="E32" s="27" t="s">
        <v>7</v>
      </c>
      <c r="F32" s="27" t="s">
        <v>13</v>
      </c>
      <c r="G32" s="27" t="s">
        <v>16</v>
      </c>
      <c r="H32" s="27" t="s">
        <v>23</v>
      </c>
      <c r="I32" s="27" t="s">
        <v>24</v>
      </c>
      <c r="J32" s="27" t="s">
        <v>25</v>
      </c>
      <c r="K32" s="27" t="s">
        <v>26</v>
      </c>
      <c r="L32" s="27" t="s">
        <v>27</v>
      </c>
      <c r="M32" s="27" t="s">
        <v>28</v>
      </c>
      <c r="N32" s="27" t="s">
        <v>68</v>
      </c>
    </row>
    <row r="33" spans="1:14" s="26" customFormat="1" ht="12.75">
      <c r="A33" s="26" t="s">
        <v>81</v>
      </c>
      <c r="B33" s="26">
        <f>B28</f>
        <v>1</v>
      </c>
      <c r="C33" s="26" t="str">
        <f>B30</f>
        <v>kilogram</v>
      </c>
      <c r="D33" s="26" t="s">
        <v>2</v>
      </c>
      <c r="E33" s="26" t="s">
        <v>29</v>
      </c>
      <c r="F33" s="26" t="str">
        <f>B27</f>
        <v>RER</v>
      </c>
      <c r="G33" s="26" t="s">
        <v>30</v>
      </c>
      <c r="H33" s="26">
        <v>0</v>
      </c>
      <c r="I33" s="26">
        <f>B33</f>
        <v>1</v>
      </c>
      <c r="J33" s="26" t="s">
        <v>31</v>
      </c>
      <c r="K33" s="26" t="s">
        <v>31</v>
      </c>
      <c r="L33" s="26" t="s">
        <v>31</v>
      </c>
      <c r="M33" s="26" t="s">
        <v>31</v>
      </c>
    </row>
    <row r="34" spans="1:14" s="26" customFormat="1" ht="12.75">
      <c r="A34" s="26" t="s">
        <v>90</v>
      </c>
      <c r="B34" s="34">
        <v>-1</v>
      </c>
      <c r="C34" s="26" t="s">
        <v>37</v>
      </c>
      <c r="D34" s="26" t="s">
        <v>40</v>
      </c>
      <c r="E34" s="26" t="s">
        <v>29</v>
      </c>
      <c r="F34" s="26" t="s">
        <v>35</v>
      </c>
      <c r="G34" s="26" t="s">
        <v>33</v>
      </c>
      <c r="H34" s="26">
        <v>0</v>
      </c>
      <c r="I34" s="34">
        <f>B34</f>
        <v>-1</v>
      </c>
      <c r="J34" s="26" t="s">
        <v>31</v>
      </c>
      <c r="K34" s="26" t="s">
        <v>31</v>
      </c>
      <c r="L34" s="26" t="s">
        <v>31</v>
      </c>
      <c r="M34" s="26" t="s">
        <v>31</v>
      </c>
      <c r="N34" s="26" t="s">
        <v>91</v>
      </c>
    </row>
    <row r="35" spans="1:14" ht="15.75">
      <c r="A35" s="29" t="s">
        <v>5</v>
      </c>
      <c r="B35" s="29" t="s">
        <v>83</v>
      </c>
      <c r="C35" s="30"/>
      <c r="D35" s="31"/>
      <c r="E35" s="31"/>
      <c r="F35" s="31"/>
      <c r="G35" s="31"/>
      <c r="H35" s="31"/>
      <c r="I35" s="31"/>
      <c r="J35" s="31"/>
      <c r="K35" s="31"/>
      <c r="L35" s="31"/>
      <c r="M35" s="31"/>
      <c r="N35" s="31"/>
    </row>
    <row r="36" spans="1:14" s="26" customFormat="1" ht="12.75">
      <c r="A36" s="26" t="s">
        <v>7</v>
      </c>
      <c r="B36" s="26" t="s">
        <v>59</v>
      </c>
    </row>
    <row r="37" spans="1:14" s="26" customFormat="1" ht="12.75">
      <c r="A37" s="26" t="s">
        <v>9</v>
      </c>
      <c r="B37" s="26" t="s">
        <v>92</v>
      </c>
    </row>
    <row r="38" spans="1:14" s="26" customFormat="1" ht="12.75">
      <c r="A38" s="26" t="s">
        <v>11</v>
      </c>
      <c r="B38" s="26" t="s">
        <v>93</v>
      </c>
    </row>
    <row r="39" spans="1:14" s="26" customFormat="1" ht="12.75">
      <c r="A39" s="26" t="s">
        <v>13</v>
      </c>
      <c r="B39" s="26" t="s">
        <v>35</v>
      </c>
    </row>
    <row r="40" spans="1:14" s="26" customFormat="1" ht="12.75">
      <c r="A40" s="26" t="s">
        <v>15</v>
      </c>
      <c r="B40" s="32">
        <v>1</v>
      </c>
    </row>
    <row r="41" spans="1:14" s="26" customFormat="1" ht="12.75">
      <c r="A41" s="26" t="s">
        <v>16</v>
      </c>
      <c r="B41" s="26" t="s">
        <v>17</v>
      </c>
    </row>
    <row r="42" spans="1:14" s="26" customFormat="1" ht="12.75">
      <c r="A42" s="26" t="s">
        <v>18</v>
      </c>
      <c r="B42" s="26" t="s">
        <v>37</v>
      </c>
    </row>
    <row r="43" spans="1:14" ht="15.75">
      <c r="A43" s="27" t="s">
        <v>19</v>
      </c>
    </row>
    <row r="44" spans="1:14" ht="15.75">
      <c r="A44" s="27" t="s">
        <v>20</v>
      </c>
      <c r="B44" s="27" t="s">
        <v>21</v>
      </c>
      <c r="C44" s="27" t="s">
        <v>18</v>
      </c>
      <c r="D44" s="27" t="s">
        <v>22</v>
      </c>
      <c r="E44" s="27" t="s">
        <v>7</v>
      </c>
      <c r="F44" s="27" t="s">
        <v>13</v>
      </c>
      <c r="G44" s="27" t="s">
        <v>16</v>
      </c>
      <c r="H44" s="27" t="s">
        <v>23</v>
      </c>
      <c r="I44" s="27" t="s">
        <v>24</v>
      </c>
      <c r="J44" s="27" t="s">
        <v>25</v>
      </c>
      <c r="K44" s="27" t="s">
        <v>26</v>
      </c>
      <c r="L44" s="27" t="s">
        <v>27</v>
      </c>
      <c r="M44" s="27" t="s">
        <v>28</v>
      </c>
      <c r="N44" s="27" t="s">
        <v>68</v>
      </c>
    </row>
    <row r="45" spans="1:14" s="26" customFormat="1" ht="12.75">
      <c r="A45" s="26" t="s">
        <v>83</v>
      </c>
      <c r="B45" s="26">
        <f>B40</f>
        <v>1</v>
      </c>
      <c r="C45" s="26" t="str">
        <f>B42</f>
        <v>kilogram</v>
      </c>
      <c r="D45" s="26" t="s">
        <v>2</v>
      </c>
      <c r="E45" s="26" t="s">
        <v>29</v>
      </c>
      <c r="F45" s="26" t="str">
        <f>B39</f>
        <v>RER</v>
      </c>
      <c r="G45" s="26" t="s">
        <v>30</v>
      </c>
      <c r="H45" s="26">
        <v>0</v>
      </c>
      <c r="I45" s="26">
        <f>B45</f>
        <v>1</v>
      </c>
      <c r="J45" s="26" t="s">
        <v>31</v>
      </c>
      <c r="K45" s="26" t="s">
        <v>31</v>
      </c>
      <c r="L45" s="26" t="s">
        <v>31</v>
      </c>
      <c r="M45" s="26" t="s">
        <v>31</v>
      </c>
    </row>
    <row r="46" spans="1:14" s="26" customFormat="1" ht="12.75">
      <c r="A46" s="26" t="s">
        <v>90</v>
      </c>
      <c r="B46" s="34">
        <v>-1</v>
      </c>
      <c r="C46" s="26" t="s">
        <v>37</v>
      </c>
      <c r="D46" s="26" t="s">
        <v>40</v>
      </c>
      <c r="E46" s="26" t="s">
        <v>29</v>
      </c>
      <c r="F46" s="26" t="s">
        <v>35</v>
      </c>
      <c r="G46" s="26" t="s">
        <v>33</v>
      </c>
      <c r="H46" s="26">
        <v>0</v>
      </c>
      <c r="I46" s="26">
        <f t="shared" ref="I46" si="4">B46</f>
        <v>-1</v>
      </c>
      <c r="J46" s="26" t="s">
        <v>31</v>
      </c>
      <c r="K46" s="26" t="s">
        <v>31</v>
      </c>
      <c r="L46" s="26" t="s">
        <v>31</v>
      </c>
      <c r="M46" s="26" t="s">
        <v>31</v>
      </c>
      <c r="N46" s="26" t="s">
        <v>94</v>
      </c>
    </row>
    <row r="47" spans="1:14">
      <c r="A47" s="31"/>
      <c r="B47" s="31"/>
      <c r="C47" s="31"/>
      <c r="D47" s="31"/>
      <c r="E47" s="31"/>
      <c r="F47" s="31"/>
      <c r="G47" s="31"/>
      <c r="H47" s="31"/>
      <c r="I47" s="31"/>
      <c r="J47" s="31"/>
      <c r="K47" s="31"/>
      <c r="L47" s="31"/>
      <c r="M47" s="31"/>
      <c r="N47" s="31"/>
    </row>
    <row r="48" spans="1:14">
      <c r="A48" s="32"/>
    </row>
    <row r="49" spans="1:1">
      <c r="A49" s="32"/>
    </row>
  </sheetData>
  <mergeCells count="1">
    <mergeCell ref="O3:Q3"/>
  </mergeCell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ACE21-6520-4E3A-9A3B-DCA3B0CD3826}">
  <sheetPr>
    <tabColor theme="7"/>
  </sheetPr>
  <dimension ref="A1:U104"/>
  <sheetViews>
    <sheetView workbookViewId="0">
      <selection activeCell="A36" sqref="A36"/>
    </sheetView>
  </sheetViews>
  <sheetFormatPr defaultRowHeight="15"/>
  <cols>
    <col min="1" max="1" width="52.42578125" style="22" customWidth="1"/>
    <col min="2" max="2" width="17.5703125" customWidth="1"/>
    <col min="3" max="3" width="13.7109375" customWidth="1"/>
    <col min="4" max="4" width="39.85546875" customWidth="1"/>
    <col min="7" max="7" width="14.85546875"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96" t="s">
        <v>5</v>
      </c>
      <c r="B2" s="148" t="s">
        <v>1057</v>
      </c>
      <c r="C2" s="364"/>
      <c r="D2" s="345"/>
      <c r="E2" s="345"/>
      <c r="F2" s="345"/>
      <c r="G2" s="345"/>
      <c r="H2" s="345"/>
      <c r="I2" s="345"/>
      <c r="J2" s="345"/>
      <c r="K2" s="345"/>
      <c r="L2" s="345"/>
      <c r="M2" s="345"/>
      <c r="N2" s="345"/>
      <c r="O2" s="345"/>
      <c r="P2" s="345"/>
      <c r="Q2" s="345"/>
      <c r="R2" s="345"/>
      <c r="S2" s="46"/>
      <c r="T2" s="46"/>
      <c r="U2" s="46"/>
    </row>
    <row r="3" spans="1:21">
      <c r="A3" s="398" t="s">
        <v>7</v>
      </c>
      <c r="B3" s="46" t="s">
        <v>779</v>
      </c>
      <c r="C3" s="337"/>
      <c r="D3" s="46"/>
      <c r="E3" s="46"/>
      <c r="F3" s="46"/>
      <c r="G3" s="46"/>
      <c r="H3" s="46"/>
      <c r="I3" s="46"/>
      <c r="J3" s="46"/>
      <c r="K3" s="46"/>
      <c r="L3" s="46"/>
      <c r="M3" s="46"/>
      <c r="N3" s="46"/>
      <c r="O3" s="46"/>
      <c r="P3" s="46"/>
      <c r="Q3" s="46"/>
      <c r="R3" s="46"/>
      <c r="S3" s="46"/>
      <c r="T3" s="46">
        <f>0.2/0.03</f>
        <v>6.666666666666667</v>
      </c>
      <c r="U3" s="46" t="s">
        <v>886</v>
      </c>
    </row>
    <row r="4" spans="1:21">
      <c r="A4" s="398" t="s">
        <v>9</v>
      </c>
      <c r="B4" s="46" t="s">
        <v>1062</v>
      </c>
      <c r="C4" s="337"/>
      <c r="D4" s="46"/>
      <c r="E4" s="46"/>
      <c r="F4" s="46"/>
      <c r="G4" s="46"/>
      <c r="H4" s="46"/>
      <c r="I4" s="46"/>
      <c r="J4" s="46"/>
      <c r="K4" s="46"/>
      <c r="L4" s="46"/>
      <c r="M4" s="46"/>
      <c r="N4" s="46"/>
      <c r="O4" s="46"/>
      <c r="P4" s="46"/>
      <c r="Q4" s="46"/>
      <c r="R4" s="46"/>
      <c r="S4" s="46"/>
      <c r="T4" s="46"/>
      <c r="U4" s="381" t="s">
        <v>856</v>
      </c>
    </row>
    <row r="5" spans="1:21" ht="12.75" customHeight="1">
      <c r="A5" s="398" t="s">
        <v>11</v>
      </c>
      <c r="B5" s="339" t="s">
        <v>789</v>
      </c>
      <c r="C5" s="46"/>
      <c r="D5" s="46"/>
      <c r="E5" s="46"/>
      <c r="F5" s="46"/>
      <c r="G5" s="46"/>
      <c r="H5" s="46"/>
      <c r="I5" s="46"/>
      <c r="J5" s="46"/>
      <c r="K5" s="46"/>
      <c r="L5" s="46"/>
      <c r="M5" s="46"/>
      <c r="N5" s="46"/>
      <c r="O5" s="46"/>
      <c r="P5" s="46"/>
      <c r="Q5" s="46"/>
      <c r="R5" s="46"/>
      <c r="S5" s="46"/>
      <c r="T5" s="46"/>
      <c r="U5" s="46"/>
    </row>
    <row r="6" spans="1:21">
      <c r="A6" s="398" t="s">
        <v>13</v>
      </c>
      <c r="B6" s="46" t="s">
        <v>14</v>
      </c>
      <c r="C6" s="46"/>
      <c r="D6" s="46"/>
      <c r="E6" s="46"/>
      <c r="F6" s="46"/>
      <c r="G6" s="46"/>
      <c r="H6" s="46"/>
      <c r="I6" s="46"/>
      <c r="J6" s="46"/>
      <c r="K6" s="46"/>
      <c r="L6" s="46"/>
      <c r="M6" s="46"/>
      <c r="N6" s="46"/>
      <c r="O6" s="46"/>
      <c r="P6" s="46"/>
      <c r="Q6" s="46"/>
      <c r="R6" s="46"/>
      <c r="S6" s="46"/>
      <c r="T6" s="46"/>
      <c r="U6" s="46"/>
    </row>
    <row r="7" spans="1:21">
      <c r="A7" s="398" t="s">
        <v>15</v>
      </c>
      <c r="B7" s="46">
        <f>B12</f>
        <v>1.2E-2</v>
      </c>
      <c r="C7" s="46"/>
      <c r="D7" s="46"/>
      <c r="E7" s="46"/>
      <c r="F7" s="46"/>
      <c r="G7" s="46"/>
      <c r="H7" s="46"/>
      <c r="I7" s="46"/>
      <c r="J7" s="46"/>
      <c r="K7" s="46"/>
      <c r="L7" s="46"/>
      <c r="M7" s="46"/>
      <c r="N7" s="46"/>
      <c r="O7" s="46"/>
      <c r="P7" s="46"/>
      <c r="Q7" s="46"/>
      <c r="R7" s="46"/>
      <c r="S7" s="46"/>
      <c r="T7" s="46"/>
      <c r="U7" s="46"/>
    </row>
    <row r="8" spans="1:21">
      <c r="A8" s="398" t="s">
        <v>16</v>
      </c>
      <c r="B8" s="46" t="s">
        <v>17</v>
      </c>
      <c r="C8" s="46"/>
      <c r="D8" s="46"/>
      <c r="E8" s="46"/>
      <c r="F8" s="46"/>
      <c r="G8" s="46"/>
      <c r="H8" s="46"/>
      <c r="I8" s="46"/>
      <c r="J8" s="46"/>
      <c r="K8" s="46"/>
      <c r="L8" s="46"/>
      <c r="M8" s="46"/>
      <c r="N8" s="46"/>
      <c r="O8" s="46"/>
      <c r="P8" s="46"/>
      <c r="Q8" s="46"/>
      <c r="R8" s="46"/>
      <c r="S8" s="46"/>
      <c r="T8" s="46"/>
      <c r="U8" s="46"/>
    </row>
    <row r="9" spans="1:21">
      <c r="A9" s="398" t="s">
        <v>18</v>
      </c>
      <c r="B9" s="46" t="s">
        <v>113</v>
      </c>
      <c r="C9" s="46"/>
      <c r="D9" s="46"/>
      <c r="E9" s="46"/>
      <c r="F9" s="46"/>
      <c r="G9" s="46"/>
      <c r="H9" s="46"/>
      <c r="I9" s="46"/>
      <c r="J9" s="46"/>
      <c r="K9" s="46"/>
      <c r="L9" s="46"/>
      <c r="M9" s="46"/>
      <c r="N9" s="46"/>
      <c r="O9" s="46"/>
      <c r="P9" s="46"/>
      <c r="Q9" s="46"/>
      <c r="R9" s="46"/>
      <c r="S9" s="46"/>
      <c r="T9" s="46"/>
      <c r="U9" s="46"/>
    </row>
    <row r="10" spans="1:21">
      <c r="A10" s="399" t="s">
        <v>19</v>
      </c>
      <c r="B10" s="46"/>
      <c r="C10" s="46"/>
      <c r="D10" s="46"/>
      <c r="E10" s="46"/>
      <c r="F10" s="46"/>
      <c r="G10" s="46"/>
      <c r="H10" s="46"/>
      <c r="I10" s="46"/>
      <c r="J10" s="46"/>
      <c r="K10" s="46"/>
      <c r="L10" s="46"/>
      <c r="M10" s="46"/>
      <c r="N10" s="46"/>
      <c r="O10" s="46"/>
      <c r="P10" s="46"/>
      <c r="Q10" s="46"/>
      <c r="R10" s="46"/>
      <c r="S10" s="46"/>
      <c r="T10" s="46"/>
      <c r="U10" s="46"/>
    </row>
    <row r="11" spans="1:21">
      <c r="A11" s="399"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c r="O11" s="46"/>
      <c r="P11" s="46"/>
      <c r="Q11" s="46"/>
      <c r="R11" s="46"/>
      <c r="S11" s="46"/>
      <c r="T11" s="46"/>
      <c r="U11" s="46"/>
    </row>
    <row r="12" spans="1:21">
      <c r="A12" s="373" t="s">
        <v>1057</v>
      </c>
      <c r="B12" s="46">
        <v>1.2E-2</v>
      </c>
      <c r="C12" s="46" t="s">
        <v>113</v>
      </c>
      <c r="D12" s="400" t="s">
        <v>2</v>
      </c>
      <c r="E12" s="46" t="s">
        <v>29</v>
      </c>
      <c r="F12" s="32" t="s">
        <v>14</v>
      </c>
      <c r="G12" s="46" t="s">
        <v>30</v>
      </c>
      <c r="H12" s="46">
        <v>1</v>
      </c>
      <c r="I12" s="46">
        <f>B12</f>
        <v>1.2E-2</v>
      </c>
      <c r="J12" s="46" t="s">
        <v>31</v>
      </c>
      <c r="K12" s="46" t="s">
        <v>31</v>
      </c>
      <c r="L12" s="46" t="s">
        <v>31</v>
      </c>
      <c r="M12" s="46" t="s">
        <v>31</v>
      </c>
      <c r="N12" s="46"/>
      <c r="O12" s="401" t="s">
        <v>856</v>
      </c>
      <c r="P12" s="402"/>
      <c r="Q12" s="46"/>
      <c r="R12" s="46"/>
      <c r="S12" s="46"/>
      <c r="T12" s="46"/>
      <c r="U12" s="46"/>
    </row>
    <row r="13" spans="1:21">
      <c r="A13" s="373" t="s">
        <v>1063</v>
      </c>
      <c r="B13" s="46">
        <f>Q13</f>
        <v>6.7199999999999996E-2</v>
      </c>
      <c r="C13" s="46" t="s">
        <v>37</v>
      </c>
      <c r="D13" s="400" t="s">
        <v>2</v>
      </c>
      <c r="E13" s="46" t="s">
        <v>29</v>
      </c>
      <c r="F13" s="32" t="s">
        <v>14</v>
      </c>
      <c r="G13" s="46" t="s">
        <v>33</v>
      </c>
      <c r="H13" s="46">
        <v>1</v>
      </c>
      <c r="I13" s="46">
        <f t="shared" ref="I13:I14" si="0">B13</f>
        <v>6.7199999999999996E-2</v>
      </c>
      <c r="J13" s="46" t="s">
        <v>31</v>
      </c>
      <c r="K13" s="46" t="s">
        <v>31</v>
      </c>
      <c r="L13" s="46" t="s">
        <v>31</v>
      </c>
      <c r="M13" s="46" t="s">
        <v>31</v>
      </c>
      <c r="N13" s="46"/>
      <c r="O13" s="46">
        <f>0.05/0.28</f>
        <v>0.17857142857142858</v>
      </c>
      <c r="P13" s="46" t="s">
        <v>832</v>
      </c>
      <c r="Q13" s="46">
        <f>B12/O13</f>
        <v>6.7199999999999996E-2</v>
      </c>
      <c r="R13" s="46"/>
      <c r="S13" s="46"/>
      <c r="T13" s="46"/>
      <c r="U13" s="46"/>
    </row>
    <row r="14" spans="1:21">
      <c r="A14" s="373" t="s">
        <v>1064</v>
      </c>
      <c r="B14" s="46">
        <v>3.5999999999999997E-2</v>
      </c>
      <c r="C14" s="46" t="s">
        <v>113</v>
      </c>
      <c r="D14" s="400" t="s">
        <v>2</v>
      </c>
      <c r="E14" s="46" t="s">
        <v>29</v>
      </c>
      <c r="F14" s="32" t="s">
        <v>14</v>
      </c>
      <c r="G14" s="46" t="s">
        <v>33</v>
      </c>
      <c r="H14" s="46">
        <v>1</v>
      </c>
      <c r="I14" s="46">
        <f t="shared" si="0"/>
        <v>3.5999999999999997E-2</v>
      </c>
      <c r="J14" s="46" t="s">
        <v>31</v>
      </c>
      <c r="K14" s="46" t="s">
        <v>31</v>
      </c>
      <c r="L14" s="46" t="s">
        <v>31</v>
      </c>
      <c r="M14" s="46" t="s">
        <v>31</v>
      </c>
      <c r="N14" s="46"/>
      <c r="O14" s="46"/>
      <c r="P14" s="46"/>
      <c r="Q14" s="46"/>
      <c r="R14" s="46"/>
      <c r="S14" s="46"/>
      <c r="T14" s="46"/>
      <c r="U14" s="46"/>
    </row>
    <row r="15" spans="1:21">
      <c r="A15" s="61" t="s">
        <v>792</v>
      </c>
      <c r="B15" s="46">
        <f>P15</f>
        <v>0.09</v>
      </c>
      <c r="C15" s="46" t="s">
        <v>37</v>
      </c>
      <c r="D15" s="46" t="s">
        <v>40</v>
      </c>
      <c r="E15" s="46" t="s">
        <v>29</v>
      </c>
      <c r="F15" s="32" t="s">
        <v>741</v>
      </c>
      <c r="G15" s="46" t="s">
        <v>33</v>
      </c>
      <c r="H15" s="46">
        <v>2</v>
      </c>
      <c r="I15" s="46">
        <f>LN(B15)</f>
        <v>-2.4079456086518722</v>
      </c>
      <c r="J15" s="456">
        <v>0.11236102527122109</v>
      </c>
      <c r="K15" s="46" t="s">
        <v>31</v>
      </c>
      <c r="L15" s="46" t="s">
        <v>31</v>
      </c>
      <c r="M15" s="46" t="s">
        <v>31</v>
      </c>
      <c r="N15" s="46"/>
      <c r="O15" s="393" t="s">
        <v>221</v>
      </c>
      <c r="P15" s="406">
        <v>0.09</v>
      </c>
      <c r="Q15" s="46"/>
      <c r="R15" s="46"/>
      <c r="S15" s="46"/>
      <c r="T15" s="46"/>
      <c r="U15" s="46"/>
    </row>
    <row r="16" spans="1:21">
      <c r="A16" s="61" t="s">
        <v>857</v>
      </c>
      <c r="B16" s="407">
        <f>Q16</f>
        <v>4.6999999999999999E-9</v>
      </c>
      <c r="C16" s="46" t="s">
        <v>37</v>
      </c>
      <c r="D16" s="46" t="s">
        <v>40</v>
      </c>
      <c r="E16" s="46" t="s">
        <v>29</v>
      </c>
      <c r="F16" s="32" t="s">
        <v>58</v>
      </c>
      <c r="G16" s="46" t="s">
        <v>33</v>
      </c>
      <c r="H16" s="46">
        <v>2</v>
      </c>
      <c r="I16" s="46">
        <f t="shared" ref="I16:I17" si="1">LN(B16)</f>
        <v>-19.175703328230398</v>
      </c>
      <c r="J16" s="456">
        <v>0.11236102527122109</v>
      </c>
      <c r="K16" s="46" t="s">
        <v>31</v>
      </c>
      <c r="L16" s="46" t="s">
        <v>31</v>
      </c>
      <c r="M16" s="46" t="s">
        <v>31</v>
      </c>
      <c r="N16" s="46"/>
      <c r="O16" s="408" t="s">
        <v>523</v>
      </c>
      <c r="P16" s="409">
        <v>4.7000000000000002E-3</v>
      </c>
      <c r="Q16" s="407">
        <f>P16*10^(-6)</f>
        <v>4.6999999999999999E-9</v>
      </c>
      <c r="R16" s="46" t="s">
        <v>37</v>
      </c>
      <c r="S16" s="46"/>
      <c r="T16" s="46"/>
      <c r="U16" s="46"/>
    </row>
    <row r="17" spans="1:21">
      <c r="A17" s="61" t="s">
        <v>226</v>
      </c>
      <c r="B17" s="46">
        <f>Q17</f>
        <v>8.9999999999999992E-5</v>
      </c>
      <c r="C17" s="46" t="s">
        <v>42</v>
      </c>
      <c r="D17" s="46" t="s">
        <v>40</v>
      </c>
      <c r="E17" s="46" t="s">
        <v>29</v>
      </c>
      <c r="F17" s="32" t="s">
        <v>741</v>
      </c>
      <c r="G17" s="46" t="s">
        <v>33</v>
      </c>
      <c r="H17" s="46">
        <v>2</v>
      </c>
      <c r="I17" s="46">
        <f t="shared" si="1"/>
        <v>-9.3157008876340086</v>
      </c>
      <c r="J17" s="456">
        <v>0.11236102527122109</v>
      </c>
      <c r="K17" s="46" t="s">
        <v>31</v>
      </c>
      <c r="L17" s="46" t="s">
        <v>31</v>
      </c>
      <c r="M17" s="46" t="s">
        <v>31</v>
      </c>
      <c r="N17" s="46"/>
      <c r="O17" s="410" t="s">
        <v>858</v>
      </c>
      <c r="P17" s="411">
        <v>0.09</v>
      </c>
      <c r="Q17" s="46">
        <f>P17/1000</f>
        <v>8.9999999999999992E-5</v>
      </c>
      <c r="R17" s="46" t="s">
        <v>859</v>
      </c>
      <c r="S17" s="46"/>
      <c r="T17" s="46"/>
      <c r="U17" s="46"/>
    </row>
    <row r="18" spans="1:21">
      <c r="A18" s="396" t="s">
        <v>5</v>
      </c>
      <c r="B18" s="148" t="s">
        <v>1063</v>
      </c>
      <c r="C18" s="364"/>
      <c r="D18" s="345"/>
      <c r="E18" s="345"/>
      <c r="F18" s="345"/>
      <c r="G18" s="345"/>
      <c r="H18" s="345"/>
      <c r="I18" s="345"/>
      <c r="J18" s="345"/>
      <c r="K18" s="345"/>
      <c r="L18" s="345"/>
      <c r="M18" s="345"/>
      <c r="N18" s="345"/>
      <c r="O18" s="345"/>
      <c r="P18" s="345"/>
      <c r="Q18" s="345"/>
      <c r="R18" s="345"/>
      <c r="S18" s="46"/>
      <c r="T18" s="46"/>
      <c r="U18" s="46"/>
    </row>
    <row r="19" spans="1:21">
      <c r="A19" s="398" t="s">
        <v>7</v>
      </c>
      <c r="B19" s="46" t="s">
        <v>779</v>
      </c>
      <c r="C19" s="337"/>
      <c r="D19" s="46"/>
      <c r="E19" s="46"/>
      <c r="F19" s="46"/>
      <c r="G19" s="46"/>
      <c r="H19" s="46"/>
      <c r="I19" s="46"/>
      <c r="J19" s="46"/>
      <c r="K19" s="46"/>
      <c r="L19" s="46"/>
      <c r="M19" s="46"/>
      <c r="N19" s="46"/>
      <c r="O19" s="46"/>
      <c r="P19" s="46"/>
      <c r="Q19" s="46"/>
      <c r="R19" s="46"/>
      <c r="S19" s="46"/>
      <c r="T19" s="46"/>
      <c r="U19" s="46"/>
    </row>
    <row r="20" spans="1:21">
      <c r="A20" s="398" t="s">
        <v>9</v>
      </c>
      <c r="B20" s="46" t="s">
        <v>1065</v>
      </c>
      <c r="C20" s="337"/>
      <c r="D20" s="46"/>
      <c r="E20" s="46"/>
      <c r="F20" s="46"/>
      <c r="G20" s="46"/>
      <c r="H20" s="46"/>
      <c r="I20" s="46"/>
      <c r="J20" s="46"/>
      <c r="K20" s="46"/>
      <c r="L20" s="46"/>
      <c r="M20" s="46"/>
      <c r="N20" s="46"/>
      <c r="O20" s="46"/>
      <c r="P20" s="46"/>
      <c r="Q20" s="46"/>
      <c r="R20" s="46"/>
      <c r="S20" s="46"/>
      <c r="T20" s="46"/>
      <c r="U20" s="46"/>
    </row>
    <row r="21" spans="1:21" ht="10.5" customHeight="1">
      <c r="A21" s="398" t="s">
        <v>11</v>
      </c>
      <c r="B21" s="339" t="s">
        <v>789</v>
      </c>
      <c r="C21" s="46"/>
      <c r="D21" s="46"/>
      <c r="E21" s="46"/>
      <c r="F21" s="46"/>
      <c r="G21" s="46"/>
      <c r="H21" s="46"/>
      <c r="I21" s="46"/>
      <c r="J21" s="46"/>
      <c r="K21" s="46"/>
      <c r="L21" s="46"/>
      <c r="M21" s="46"/>
      <c r="N21" s="46"/>
      <c r="O21" s="46"/>
      <c r="P21" s="413"/>
      <c r="Q21" s="46"/>
      <c r="R21" s="46"/>
      <c r="S21" s="46"/>
      <c r="T21" s="46"/>
      <c r="U21" s="46"/>
    </row>
    <row r="22" spans="1:21">
      <c r="A22" s="398" t="s">
        <v>13</v>
      </c>
      <c r="B22" s="46" t="s">
        <v>14</v>
      </c>
      <c r="C22" s="46"/>
      <c r="D22" s="46"/>
      <c r="E22" s="46"/>
      <c r="F22" s="46"/>
      <c r="G22" s="46"/>
      <c r="H22" s="46"/>
      <c r="I22" s="46"/>
      <c r="J22" s="46"/>
      <c r="K22" s="46"/>
      <c r="L22" s="46"/>
      <c r="M22" s="46"/>
      <c r="N22" s="46"/>
      <c r="O22" s="46"/>
      <c r="P22" s="413"/>
      <c r="Q22" s="46"/>
      <c r="R22" s="46"/>
      <c r="S22" s="46"/>
      <c r="T22" s="46"/>
      <c r="U22" s="46"/>
    </row>
    <row r="23" spans="1:21">
      <c r="A23" s="398" t="s">
        <v>15</v>
      </c>
      <c r="B23" s="46">
        <f>B28</f>
        <v>0.06</v>
      </c>
      <c r="C23" s="46"/>
      <c r="D23" s="46"/>
      <c r="E23" s="46"/>
      <c r="F23" s="46"/>
      <c r="G23" s="46"/>
      <c r="H23" s="46"/>
      <c r="I23" s="46"/>
      <c r="J23" s="46"/>
      <c r="K23" s="46"/>
      <c r="L23" s="46"/>
      <c r="M23" s="46"/>
      <c r="N23" s="46"/>
      <c r="O23" s="46"/>
      <c r="P23" s="413"/>
      <c r="Q23" s="46"/>
      <c r="R23" s="46"/>
      <c r="S23" s="46"/>
      <c r="T23" s="46"/>
      <c r="U23" s="46"/>
    </row>
    <row r="24" spans="1:21">
      <c r="A24" s="398" t="s">
        <v>16</v>
      </c>
      <c r="B24" s="46" t="s">
        <v>17</v>
      </c>
      <c r="C24" s="46"/>
      <c r="D24" s="46"/>
      <c r="E24" s="46"/>
      <c r="F24" s="46"/>
      <c r="G24" s="46"/>
      <c r="H24" s="46"/>
      <c r="I24" s="46"/>
      <c r="J24" s="46"/>
      <c r="K24" s="46"/>
      <c r="L24" s="46"/>
      <c r="M24" s="46"/>
      <c r="N24" s="46"/>
      <c r="O24" s="46"/>
      <c r="P24" s="46"/>
      <c r="Q24" s="46"/>
      <c r="R24" s="46"/>
      <c r="S24" s="46"/>
      <c r="T24" s="46"/>
      <c r="U24" s="46"/>
    </row>
    <row r="25" spans="1:21">
      <c r="A25" s="398" t="s">
        <v>18</v>
      </c>
      <c r="B25" s="46" t="s">
        <v>37</v>
      </c>
      <c r="C25" s="46"/>
      <c r="D25" s="46"/>
      <c r="E25" s="46"/>
      <c r="F25" s="46"/>
      <c r="G25" s="46"/>
      <c r="H25" s="46"/>
      <c r="I25" s="46"/>
      <c r="J25" s="46"/>
      <c r="K25" s="46"/>
      <c r="L25" s="46"/>
      <c r="M25" s="46"/>
      <c r="N25" s="46"/>
      <c r="O25" s="46"/>
      <c r="P25" s="46"/>
      <c r="Q25" s="46"/>
      <c r="R25" s="46"/>
      <c r="S25" s="46"/>
      <c r="T25" s="46"/>
      <c r="U25" s="46"/>
    </row>
    <row r="26" spans="1:21">
      <c r="A26" s="399" t="s">
        <v>19</v>
      </c>
      <c r="B26" s="46"/>
      <c r="C26" s="46"/>
      <c r="D26" s="46"/>
      <c r="E26" s="46"/>
      <c r="F26" s="46"/>
      <c r="G26" s="46"/>
      <c r="H26" s="46"/>
      <c r="I26" s="46"/>
      <c r="J26" s="46"/>
      <c r="K26" s="46"/>
      <c r="L26" s="46"/>
      <c r="M26" s="46"/>
      <c r="N26" s="46"/>
      <c r="O26" s="46"/>
      <c r="P26" s="46"/>
      <c r="Q26" s="46"/>
      <c r="R26" s="46"/>
      <c r="S26" s="46"/>
      <c r="T26" s="46"/>
      <c r="U26" s="46"/>
    </row>
    <row r="27" spans="1:21">
      <c r="A27" s="399" t="s">
        <v>20</v>
      </c>
      <c r="B27" s="336" t="s">
        <v>21</v>
      </c>
      <c r="C27" s="336" t="s">
        <v>18</v>
      </c>
      <c r="D27" s="336" t="s">
        <v>22</v>
      </c>
      <c r="E27" s="336" t="s">
        <v>7</v>
      </c>
      <c r="F27" s="336" t="s">
        <v>13</v>
      </c>
      <c r="G27" s="336" t="s">
        <v>16</v>
      </c>
      <c r="H27" s="336" t="s">
        <v>23</v>
      </c>
      <c r="I27" s="336" t="s">
        <v>24</v>
      </c>
      <c r="J27" s="336" t="s">
        <v>25</v>
      </c>
      <c r="K27" s="336" t="s">
        <v>26</v>
      </c>
      <c r="L27" s="336" t="s">
        <v>27</v>
      </c>
      <c r="M27" s="336" t="s">
        <v>28</v>
      </c>
      <c r="N27" s="336" t="s">
        <v>11</v>
      </c>
      <c r="O27" s="46"/>
      <c r="P27" s="46"/>
      <c r="Q27" s="46"/>
      <c r="R27" s="46"/>
      <c r="S27" s="46"/>
      <c r="T27" s="46"/>
      <c r="U27" s="46"/>
    </row>
    <row r="28" spans="1:21">
      <c r="A28" s="373" t="s">
        <v>1063</v>
      </c>
      <c r="B28" s="46">
        <v>0.06</v>
      </c>
      <c r="C28" s="46" t="s">
        <v>37</v>
      </c>
      <c r="D28" s="400" t="s">
        <v>2</v>
      </c>
      <c r="E28" s="46" t="s">
        <v>29</v>
      </c>
      <c r="F28" s="32" t="s">
        <v>14</v>
      </c>
      <c r="G28" s="46" t="s">
        <v>30</v>
      </c>
      <c r="H28" s="46">
        <v>1</v>
      </c>
      <c r="I28" s="46">
        <f>B28</f>
        <v>0.06</v>
      </c>
      <c r="J28" s="46" t="s">
        <v>31</v>
      </c>
      <c r="K28" s="46" t="s">
        <v>31</v>
      </c>
      <c r="L28" s="46" t="s">
        <v>31</v>
      </c>
      <c r="M28" s="46" t="s">
        <v>31</v>
      </c>
      <c r="N28" s="46"/>
      <c r="O28" s="46"/>
      <c r="Q28" s="46"/>
      <c r="R28" s="46"/>
      <c r="S28" s="46"/>
      <c r="T28" s="46"/>
      <c r="U28" s="46"/>
    </row>
    <row r="29" spans="1:21">
      <c r="A29" s="61" t="s">
        <v>857</v>
      </c>
      <c r="B29" s="407">
        <f>R29</f>
        <v>6.6E-3</v>
      </c>
      <c r="C29" s="46" t="s">
        <v>37</v>
      </c>
      <c r="D29" s="46" t="s">
        <v>40</v>
      </c>
      <c r="E29" s="46" t="s">
        <v>29</v>
      </c>
      <c r="F29" s="32" t="s">
        <v>58</v>
      </c>
      <c r="G29" s="46" t="s">
        <v>33</v>
      </c>
      <c r="H29" s="46">
        <v>2</v>
      </c>
      <c r="I29" s="46">
        <f t="shared" ref="I29:I31" si="2">LN(B29)</f>
        <v>-5.0206856299497575</v>
      </c>
      <c r="J29" s="456">
        <v>0.11236102527122109</v>
      </c>
      <c r="K29" s="46" t="s">
        <v>31</v>
      </c>
      <c r="L29" s="46" t="s">
        <v>31</v>
      </c>
      <c r="M29" s="46" t="s">
        <v>31</v>
      </c>
      <c r="N29" s="46"/>
      <c r="O29" s="393" t="s">
        <v>575</v>
      </c>
      <c r="P29" s="406">
        <v>6.6</v>
      </c>
      <c r="Q29" s="46" t="s">
        <v>221</v>
      </c>
      <c r="R29" s="46">
        <f>P29*0.001</f>
        <v>6.6E-3</v>
      </c>
      <c r="S29" s="46"/>
      <c r="T29" s="46"/>
      <c r="U29" s="46"/>
    </row>
    <row r="30" spans="1:21">
      <c r="A30" s="398" t="s">
        <v>75</v>
      </c>
      <c r="B30" s="342">
        <f>P30</f>
        <v>0.03</v>
      </c>
      <c r="C30" s="46" t="s">
        <v>39</v>
      </c>
      <c r="D30" s="46" t="s">
        <v>40</v>
      </c>
      <c r="E30" s="46" t="s">
        <v>29</v>
      </c>
      <c r="F30" s="32" t="s">
        <v>35</v>
      </c>
      <c r="G30" s="46" t="s">
        <v>33</v>
      </c>
      <c r="H30" s="46">
        <v>2</v>
      </c>
      <c r="I30" s="46">
        <f t="shared" si="2"/>
        <v>-3.5065578973199818</v>
      </c>
      <c r="J30" s="456">
        <v>0.11236102527122109</v>
      </c>
      <c r="K30" s="46" t="s">
        <v>31</v>
      </c>
      <c r="L30" s="46" t="s">
        <v>31</v>
      </c>
      <c r="M30" s="46" t="s">
        <v>31</v>
      </c>
      <c r="N30" s="46"/>
      <c r="O30" s="393" t="s">
        <v>216</v>
      </c>
      <c r="P30" s="406">
        <v>0.03</v>
      </c>
      <c r="Q30" s="46"/>
      <c r="R30" s="46"/>
      <c r="S30" s="46"/>
      <c r="T30" s="46"/>
      <c r="U30" s="46"/>
    </row>
    <row r="31" spans="1:21">
      <c r="A31" s="61" t="s">
        <v>861</v>
      </c>
      <c r="B31" s="46">
        <f>R31</f>
        <v>2.9999999999999997E-4</v>
      </c>
      <c r="C31" s="46" t="s">
        <v>37</v>
      </c>
      <c r="D31" s="46" t="s">
        <v>43</v>
      </c>
      <c r="E31" s="46" t="s">
        <v>862</v>
      </c>
      <c r="F31" s="32" t="s">
        <v>29</v>
      </c>
      <c r="G31" s="46" t="s">
        <v>45</v>
      </c>
      <c r="H31" s="46">
        <v>2</v>
      </c>
      <c r="I31" s="46">
        <f t="shared" si="2"/>
        <v>-8.1117280833080727</v>
      </c>
      <c r="J31" s="456">
        <v>0.11236102527122109</v>
      </c>
      <c r="K31" s="46" t="s">
        <v>31</v>
      </c>
      <c r="L31" s="46" t="s">
        <v>31</v>
      </c>
      <c r="M31" s="46" t="s">
        <v>31</v>
      </c>
      <c r="N31" s="46"/>
      <c r="O31" s="410" t="s">
        <v>575</v>
      </c>
      <c r="P31" s="411">
        <v>0.3</v>
      </c>
      <c r="Q31" s="46" t="s">
        <v>221</v>
      </c>
      <c r="R31" s="46">
        <f>P31*0.001</f>
        <v>2.9999999999999997E-4</v>
      </c>
      <c r="S31" s="46"/>
      <c r="T31" s="46"/>
      <c r="U31" s="46"/>
    </row>
    <row r="32" spans="1:21">
      <c r="A32" s="396" t="s">
        <v>5</v>
      </c>
      <c r="B32" s="363" t="s">
        <v>1064</v>
      </c>
      <c r="C32" s="364"/>
      <c r="D32" s="345"/>
      <c r="E32" s="345"/>
      <c r="F32" s="345"/>
      <c r="G32" s="345"/>
      <c r="H32" s="345"/>
      <c r="I32" s="345"/>
      <c r="J32" s="345"/>
      <c r="K32" s="345"/>
      <c r="L32" s="345"/>
      <c r="M32" s="345"/>
      <c r="N32" s="345"/>
      <c r="O32" s="345"/>
      <c r="P32" s="345"/>
      <c r="Q32" s="345"/>
      <c r="R32" s="345"/>
      <c r="S32" s="46"/>
      <c r="T32" s="46"/>
      <c r="U32" s="46"/>
    </row>
    <row r="33" spans="1:21">
      <c r="A33" s="398" t="s">
        <v>7</v>
      </c>
      <c r="B33" s="46" t="s">
        <v>779</v>
      </c>
      <c r="C33" s="337"/>
      <c r="D33" s="46"/>
      <c r="E33" s="46"/>
      <c r="F33" s="46"/>
      <c r="G33" s="46"/>
      <c r="H33" s="46"/>
      <c r="I33" s="46"/>
      <c r="J33" s="46"/>
      <c r="K33" s="46"/>
      <c r="L33" s="46"/>
      <c r="M33" s="46"/>
      <c r="N33" s="46"/>
      <c r="O33" s="46"/>
      <c r="P33" s="46"/>
      <c r="Q33" s="46"/>
      <c r="R33" s="46"/>
      <c r="S33" s="46"/>
      <c r="T33" s="46"/>
      <c r="U33" s="46"/>
    </row>
    <row r="34" spans="1:21">
      <c r="A34" s="398" t="s">
        <v>9</v>
      </c>
      <c r="B34" s="46" t="s">
        <v>1066</v>
      </c>
      <c r="C34" s="337"/>
      <c r="D34" s="46"/>
      <c r="E34" s="46"/>
      <c r="F34" s="46"/>
      <c r="G34" s="46"/>
      <c r="H34" s="46"/>
      <c r="I34" s="46"/>
      <c r="J34" s="46"/>
      <c r="K34" s="46"/>
      <c r="L34" s="46"/>
      <c r="M34" s="46"/>
      <c r="N34" s="46"/>
      <c r="O34" s="46"/>
      <c r="P34" s="46"/>
      <c r="Q34" s="46"/>
      <c r="R34" s="46"/>
      <c r="S34" s="46"/>
      <c r="T34" s="46"/>
      <c r="U34" s="46"/>
    </row>
    <row r="35" spans="1:21" ht="15.75" customHeight="1">
      <c r="A35" s="398" t="s">
        <v>11</v>
      </c>
      <c r="B35" s="339" t="s">
        <v>789</v>
      </c>
      <c r="C35" s="46"/>
      <c r="D35" s="46"/>
      <c r="E35" s="46"/>
      <c r="F35" s="46"/>
      <c r="G35" s="46"/>
      <c r="H35" s="46"/>
      <c r="I35" s="46"/>
      <c r="J35" s="46"/>
      <c r="K35" s="46"/>
      <c r="L35" s="46"/>
      <c r="M35" s="46"/>
      <c r="N35" s="46"/>
      <c r="O35" s="46"/>
      <c r="P35" s="46"/>
      <c r="Q35" s="46"/>
      <c r="R35" s="46"/>
      <c r="S35" s="46"/>
      <c r="T35" s="381"/>
      <c r="U35" s="46"/>
    </row>
    <row r="36" spans="1:21">
      <c r="A36" s="398" t="s">
        <v>13</v>
      </c>
      <c r="B36" s="46" t="s">
        <v>14</v>
      </c>
      <c r="C36" s="46"/>
      <c r="D36" s="46"/>
      <c r="E36" s="46"/>
      <c r="F36" s="46"/>
      <c r="G36" s="46"/>
      <c r="H36" s="46"/>
      <c r="I36" s="46"/>
      <c r="J36" s="46"/>
      <c r="K36" s="46"/>
      <c r="L36" s="46"/>
      <c r="M36" s="46"/>
      <c r="N36" s="46"/>
      <c r="O36" s="46"/>
      <c r="P36" s="46"/>
      <c r="Q36" s="46"/>
      <c r="R36" s="46"/>
      <c r="S36" s="46"/>
      <c r="T36" s="46"/>
      <c r="U36" s="46"/>
    </row>
    <row r="37" spans="1:21">
      <c r="A37" s="398" t="s">
        <v>15</v>
      </c>
      <c r="B37" s="46">
        <v>0.05</v>
      </c>
      <c r="C37" s="46"/>
      <c r="D37" s="46"/>
      <c r="E37" s="46"/>
      <c r="F37" s="46"/>
      <c r="G37" s="46"/>
      <c r="H37" s="46"/>
      <c r="I37" s="46"/>
      <c r="J37" s="46"/>
      <c r="K37" s="46"/>
      <c r="L37" s="46"/>
      <c r="M37" s="46"/>
      <c r="N37" s="46"/>
      <c r="O37" s="46"/>
      <c r="P37" s="46" t="s">
        <v>1067</v>
      </c>
      <c r="Q37" s="46"/>
      <c r="R37" s="46"/>
      <c r="S37" s="46"/>
      <c r="T37" s="46"/>
      <c r="U37" s="46"/>
    </row>
    <row r="38" spans="1:21">
      <c r="A38" s="398" t="s">
        <v>16</v>
      </c>
      <c r="B38" s="46" t="s">
        <v>17</v>
      </c>
      <c r="C38" s="46"/>
      <c r="D38" s="46"/>
      <c r="E38" s="46"/>
      <c r="F38" s="46"/>
      <c r="G38" s="46"/>
      <c r="H38" s="46"/>
      <c r="I38" s="46"/>
      <c r="J38" s="46"/>
      <c r="K38" s="46"/>
      <c r="L38" s="46"/>
      <c r="M38" s="46"/>
      <c r="N38" s="46"/>
      <c r="O38" s="46"/>
      <c r="P38" s="46">
        <f>0.05/0.28</f>
        <v>0.17857142857142858</v>
      </c>
      <c r="Q38" s="46" t="s">
        <v>832</v>
      </c>
      <c r="R38" s="46"/>
      <c r="S38" s="46"/>
      <c r="T38" s="46"/>
      <c r="U38" s="46"/>
    </row>
    <row r="39" spans="1:21">
      <c r="A39" s="398" t="s">
        <v>18</v>
      </c>
      <c r="B39" s="46" t="s">
        <v>113</v>
      </c>
      <c r="C39" s="46"/>
      <c r="D39" s="46"/>
      <c r="E39" s="46"/>
      <c r="F39" s="46"/>
      <c r="G39" s="46"/>
      <c r="H39" s="46"/>
      <c r="I39" s="46"/>
      <c r="J39" s="46"/>
      <c r="K39" s="46"/>
      <c r="L39" s="46"/>
      <c r="M39" s="46"/>
      <c r="N39" s="46"/>
      <c r="O39" s="46"/>
      <c r="P39" s="46"/>
      <c r="Q39" s="46"/>
      <c r="R39" s="46"/>
      <c r="S39" s="46"/>
      <c r="T39" s="46"/>
      <c r="U39" s="46"/>
    </row>
    <row r="40" spans="1:21">
      <c r="A40" s="399" t="s">
        <v>19</v>
      </c>
      <c r="B40" s="46"/>
      <c r="C40" s="46"/>
      <c r="D40" s="46"/>
      <c r="E40" s="46"/>
      <c r="F40" s="46"/>
      <c r="G40" s="46"/>
      <c r="H40" s="46"/>
      <c r="I40" s="46"/>
      <c r="J40" s="46"/>
      <c r="K40" s="46"/>
      <c r="L40" s="46"/>
      <c r="M40" s="46"/>
      <c r="N40" s="46"/>
      <c r="O40" s="46"/>
      <c r="P40" s="46"/>
      <c r="Q40" s="46"/>
      <c r="R40" s="46"/>
      <c r="S40" s="46"/>
      <c r="T40" s="46"/>
      <c r="U40" s="46"/>
    </row>
    <row r="41" spans="1:21">
      <c r="A41" s="399" t="s">
        <v>20</v>
      </c>
      <c r="B41" s="336" t="s">
        <v>21</v>
      </c>
      <c r="C41" s="336" t="s">
        <v>18</v>
      </c>
      <c r="D41" s="336" t="s">
        <v>22</v>
      </c>
      <c r="E41" s="336" t="s">
        <v>7</v>
      </c>
      <c r="F41" s="336" t="s">
        <v>13</v>
      </c>
      <c r="G41" s="336" t="s">
        <v>16</v>
      </c>
      <c r="H41" s="336" t="s">
        <v>23</v>
      </c>
      <c r="I41" s="336" t="s">
        <v>24</v>
      </c>
      <c r="J41" s="336" t="s">
        <v>25</v>
      </c>
      <c r="K41" s="336" t="s">
        <v>26</v>
      </c>
      <c r="L41" s="336" t="s">
        <v>27</v>
      </c>
      <c r="M41" s="336" t="s">
        <v>28</v>
      </c>
      <c r="N41" s="336" t="s">
        <v>11</v>
      </c>
      <c r="O41" s="46"/>
      <c r="P41" s="46"/>
      <c r="Q41" s="46"/>
      <c r="R41" s="46"/>
      <c r="S41" s="46"/>
      <c r="T41" s="46"/>
      <c r="U41" s="46"/>
    </row>
    <row r="42" spans="1:21">
      <c r="A42" s="373" t="s">
        <v>1064</v>
      </c>
      <c r="B42" s="46">
        <v>0.05</v>
      </c>
      <c r="C42" s="46" t="s">
        <v>113</v>
      </c>
      <c r="D42" s="400" t="s">
        <v>2</v>
      </c>
      <c r="E42" s="46" t="s">
        <v>29</v>
      </c>
      <c r="F42" s="32" t="s">
        <v>14</v>
      </c>
      <c r="G42" s="46" t="s">
        <v>30</v>
      </c>
      <c r="H42" s="46">
        <v>1</v>
      </c>
      <c r="I42" s="46">
        <f t="shared" ref="I42:I43" si="3">B42</f>
        <v>0.05</v>
      </c>
      <c r="J42" s="46" t="s">
        <v>31</v>
      </c>
      <c r="K42" s="46" t="s">
        <v>31</v>
      </c>
      <c r="L42" s="46" t="s">
        <v>31</v>
      </c>
      <c r="M42" s="46" t="s">
        <v>31</v>
      </c>
      <c r="N42" s="46"/>
      <c r="O42" s="46"/>
      <c r="P42" s="46"/>
      <c r="Q42" s="46"/>
      <c r="R42" s="46"/>
      <c r="S42" s="46">
        <f>0.16/0.25</f>
        <v>0.64</v>
      </c>
      <c r="T42" s="46" t="s">
        <v>886</v>
      </c>
      <c r="U42" s="46"/>
    </row>
    <row r="43" spans="1:21">
      <c r="A43" s="363" t="s">
        <v>1068</v>
      </c>
      <c r="B43" s="412">
        <f>B68</f>
        <v>0.28000000000000003</v>
      </c>
      <c r="C43" s="46" t="s">
        <v>37</v>
      </c>
      <c r="D43" s="400" t="s">
        <v>2</v>
      </c>
      <c r="E43" s="46" t="s">
        <v>29</v>
      </c>
      <c r="F43" s="32" t="s">
        <v>14</v>
      </c>
      <c r="G43" s="46" t="s">
        <v>33</v>
      </c>
      <c r="H43" s="46">
        <v>1</v>
      </c>
      <c r="I43" s="46">
        <f t="shared" si="3"/>
        <v>0.28000000000000003</v>
      </c>
      <c r="J43" s="46" t="s">
        <v>31</v>
      </c>
      <c r="K43" s="46" t="s">
        <v>31</v>
      </c>
      <c r="L43" s="46" t="s">
        <v>31</v>
      </c>
      <c r="M43" s="46" t="s">
        <v>31</v>
      </c>
      <c r="N43" s="46"/>
      <c r="O43" s="393"/>
      <c r="P43" s="406"/>
      <c r="Q43" s="46"/>
      <c r="R43" s="46"/>
      <c r="S43" s="46"/>
      <c r="T43" s="46"/>
      <c r="U43" s="46"/>
    </row>
    <row r="44" spans="1:21">
      <c r="A44" s="398" t="s">
        <v>75</v>
      </c>
      <c r="B44" s="342">
        <f>P44</f>
        <v>0.38</v>
      </c>
      <c r="C44" s="46" t="s">
        <v>39</v>
      </c>
      <c r="D44" s="46" t="s">
        <v>40</v>
      </c>
      <c r="E44" s="46" t="s">
        <v>29</v>
      </c>
      <c r="F44" s="32" t="s">
        <v>35</v>
      </c>
      <c r="G44" s="46" t="s">
        <v>33</v>
      </c>
      <c r="H44" s="46">
        <v>2</v>
      </c>
      <c r="I44" s="46">
        <f t="shared" ref="I44" si="4">LN(B44)</f>
        <v>-0.96758402626170559</v>
      </c>
      <c r="J44" s="456">
        <v>7.2284161474004766E-2</v>
      </c>
      <c r="K44" s="46" t="s">
        <v>31</v>
      </c>
      <c r="L44" s="46" t="s">
        <v>31</v>
      </c>
      <c r="M44" s="46" t="s">
        <v>31</v>
      </c>
      <c r="N44" s="46"/>
      <c r="O44" s="393" t="s">
        <v>216</v>
      </c>
      <c r="P44" s="120">
        <v>0.38</v>
      </c>
      <c r="Q44" s="46"/>
      <c r="R44" s="46"/>
      <c r="S44" s="46"/>
      <c r="T44" s="46"/>
      <c r="U44" s="46"/>
    </row>
    <row r="45" spans="1:21">
      <c r="A45" s="61" t="s">
        <v>547</v>
      </c>
      <c r="B45" s="46">
        <f>R45</f>
        <v>9.0000000000000011E-3</v>
      </c>
      <c r="C45" s="46" t="s">
        <v>37</v>
      </c>
      <c r="D45" s="46" t="s">
        <v>40</v>
      </c>
      <c r="E45" s="46" t="s">
        <v>29</v>
      </c>
      <c r="F45" s="32" t="s">
        <v>58</v>
      </c>
      <c r="G45" s="46" t="s">
        <v>33</v>
      </c>
      <c r="H45" s="46">
        <v>2</v>
      </c>
      <c r="I45" s="46">
        <f>LN(B45)</f>
        <v>-4.7105307016459177</v>
      </c>
      <c r="J45" s="456">
        <v>7.2284161474004766E-2</v>
      </c>
      <c r="K45" s="46" t="s">
        <v>31</v>
      </c>
      <c r="L45" s="46" t="s">
        <v>31</v>
      </c>
      <c r="M45" s="46" t="s">
        <v>31</v>
      </c>
      <c r="N45" s="46"/>
      <c r="O45" s="393" t="s">
        <v>575</v>
      </c>
      <c r="P45" s="120">
        <v>9</v>
      </c>
      <c r="Q45" s="46" t="s">
        <v>221</v>
      </c>
      <c r="R45" s="46">
        <f>P45*0.001</f>
        <v>9.0000000000000011E-3</v>
      </c>
      <c r="S45" s="46"/>
      <c r="T45" s="46"/>
      <c r="U45" s="46"/>
    </row>
    <row r="46" spans="1:21">
      <c r="A46" s="61" t="s">
        <v>866</v>
      </c>
      <c r="B46" s="46">
        <f>R46</f>
        <v>1.6E-2</v>
      </c>
      <c r="C46" s="46" t="s">
        <v>37</v>
      </c>
      <c r="D46" s="46" t="s">
        <v>40</v>
      </c>
      <c r="E46" s="46" t="s">
        <v>29</v>
      </c>
      <c r="F46" s="32" t="s">
        <v>35</v>
      </c>
      <c r="G46" s="46" t="s">
        <v>33</v>
      </c>
      <c r="H46" s="46">
        <v>2</v>
      </c>
      <c r="I46" s="46">
        <f>LN(B46)</f>
        <v>-4.1351665567423561</v>
      </c>
      <c r="J46" s="456">
        <v>7.2284161474004766E-2</v>
      </c>
      <c r="K46" s="46" t="s">
        <v>31</v>
      </c>
      <c r="L46" s="46" t="s">
        <v>31</v>
      </c>
      <c r="M46" s="46" t="s">
        <v>31</v>
      </c>
      <c r="N46" s="46"/>
      <c r="O46" s="393" t="s">
        <v>575</v>
      </c>
      <c r="P46" s="120">
        <v>16</v>
      </c>
      <c r="Q46" s="46" t="s">
        <v>221</v>
      </c>
      <c r="R46" s="46">
        <f>P46*0.001</f>
        <v>1.6E-2</v>
      </c>
      <c r="S46" s="46"/>
      <c r="T46" s="46"/>
      <c r="U46" s="46"/>
    </row>
    <row r="47" spans="1:21">
      <c r="A47" s="61" t="s">
        <v>792</v>
      </c>
      <c r="B47" s="46">
        <f>P47</f>
        <v>14.5</v>
      </c>
      <c r="C47" s="46" t="s">
        <v>37</v>
      </c>
      <c r="D47" s="46" t="s">
        <v>40</v>
      </c>
      <c r="E47" s="46" t="s">
        <v>29</v>
      </c>
      <c r="F47" s="32" t="s">
        <v>741</v>
      </c>
      <c r="G47" s="46" t="s">
        <v>33</v>
      </c>
      <c r="H47" s="46">
        <v>2</v>
      </c>
      <c r="I47" s="46">
        <f>LN(B47)</f>
        <v>2.6741486494265287</v>
      </c>
      <c r="J47" s="456">
        <v>7.2284161474004766E-2</v>
      </c>
      <c r="K47" s="46" t="s">
        <v>31</v>
      </c>
      <c r="L47" s="46" t="s">
        <v>31</v>
      </c>
      <c r="M47" s="46" t="s">
        <v>31</v>
      </c>
      <c r="N47" s="46"/>
      <c r="O47" s="393" t="s">
        <v>221</v>
      </c>
      <c r="P47" s="120">
        <v>14.5</v>
      </c>
      <c r="Q47" s="46"/>
      <c r="R47" s="46"/>
      <c r="S47" s="46"/>
      <c r="T47" s="46"/>
      <c r="U47" s="46"/>
    </row>
    <row r="48" spans="1:21">
      <c r="A48" s="61" t="s">
        <v>226</v>
      </c>
      <c r="B48" s="46">
        <f>R48</f>
        <v>1.4500000000000001E-2</v>
      </c>
      <c r="C48" s="46" t="s">
        <v>42</v>
      </c>
      <c r="D48" s="46" t="s">
        <v>40</v>
      </c>
      <c r="E48" s="46" t="s">
        <v>29</v>
      </c>
      <c r="F48" s="32" t="s">
        <v>741</v>
      </c>
      <c r="G48" s="46" t="s">
        <v>33</v>
      </c>
      <c r="H48" s="46">
        <v>2</v>
      </c>
      <c r="I48" s="46">
        <f t="shared" ref="I48" si="5">LN(B48)</f>
        <v>-4.2336066295556085</v>
      </c>
      <c r="J48" s="456">
        <v>7.2284161474004766E-2</v>
      </c>
      <c r="K48" s="46" t="s">
        <v>31</v>
      </c>
      <c r="L48" s="46" t="s">
        <v>31</v>
      </c>
      <c r="M48" s="46" t="s">
        <v>31</v>
      </c>
      <c r="N48" s="46"/>
      <c r="O48" s="410" t="s">
        <v>858</v>
      </c>
      <c r="P48" s="155">
        <v>14.5</v>
      </c>
      <c r="Q48" s="46" t="s">
        <v>219</v>
      </c>
      <c r="R48" s="46">
        <f>P48/1000</f>
        <v>1.4500000000000001E-2</v>
      </c>
      <c r="S48" s="46"/>
      <c r="T48" s="46"/>
      <c r="U48" s="46"/>
    </row>
    <row r="49" spans="1:21">
      <c r="A49" s="396" t="s">
        <v>5</v>
      </c>
      <c r="B49" s="363" t="s">
        <v>1069</v>
      </c>
      <c r="C49" s="364"/>
      <c r="D49" s="345"/>
      <c r="E49" s="345"/>
      <c r="F49" s="345"/>
      <c r="G49" s="345"/>
      <c r="H49" s="345"/>
      <c r="I49" s="345"/>
      <c r="J49" s="345"/>
      <c r="K49" s="345"/>
      <c r="L49" s="345"/>
      <c r="M49" s="345"/>
      <c r="N49" s="345"/>
      <c r="O49" s="345"/>
      <c r="P49" s="345"/>
      <c r="Q49" s="345"/>
      <c r="R49" s="345"/>
      <c r="S49" s="46"/>
      <c r="T49" s="46"/>
      <c r="U49" s="46"/>
    </row>
    <row r="50" spans="1:21">
      <c r="A50" s="398" t="s">
        <v>7</v>
      </c>
      <c r="B50" s="46" t="s">
        <v>779</v>
      </c>
      <c r="C50" s="337"/>
      <c r="D50" s="46"/>
      <c r="E50" s="46"/>
      <c r="F50" s="46"/>
      <c r="G50" s="46"/>
      <c r="H50" s="46"/>
      <c r="I50" s="46"/>
      <c r="J50" s="46"/>
      <c r="K50" s="46"/>
      <c r="L50" s="46"/>
      <c r="M50" s="46"/>
      <c r="N50" s="46"/>
      <c r="O50" s="46"/>
      <c r="P50" s="46"/>
      <c r="Q50" s="46"/>
      <c r="R50" s="46"/>
      <c r="S50" s="46"/>
      <c r="T50" s="46"/>
      <c r="U50" s="46"/>
    </row>
    <row r="51" spans="1:21">
      <c r="A51" s="398" t="s">
        <v>9</v>
      </c>
      <c r="B51" s="46" t="s">
        <v>1070</v>
      </c>
      <c r="C51" s="337"/>
      <c r="D51" s="46"/>
      <c r="E51" s="46"/>
      <c r="F51" s="46"/>
      <c r="G51" s="46"/>
      <c r="H51" s="46"/>
      <c r="I51" s="46"/>
      <c r="J51" s="46"/>
      <c r="K51" s="46"/>
      <c r="L51" s="46"/>
      <c r="M51" s="46"/>
      <c r="N51" s="46"/>
      <c r="O51" s="46"/>
      <c r="P51" s="46"/>
      <c r="Q51" s="46"/>
      <c r="R51" s="46"/>
      <c r="S51" s="46"/>
      <c r="T51" s="46"/>
      <c r="U51" s="46"/>
    </row>
    <row r="52" spans="1:21" ht="10.5" customHeight="1">
      <c r="A52" s="398" t="s">
        <v>11</v>
      </c>
      <c r="B52" s="339" t="s">
        <v>789</v>
      </c>
      <c r="C52" s="46"/>
      <c r="D52" s="46"/>
      <c r="E52" s="46"/>
      <c r="F52" s="46"/>
      <c r="G52" s="46"/>
      <c r="H52" s="46"/>
      <c r="I52" s="46"/>
      <c r="J52" s="46"/>
      <c r="K52" s="46"/>
      <c r="L52" s="46"/>
      <c r="M52" s="46"/>
      <c r="N52" s="46"/>
      <c r="O52" s="46"/>
      <c r="P52" s="46"/>
      <c r="Q52" s="46"/>
      <c r="R52" s="46"/>
      <c r="S52" s="46"/>
      <c r="T52" s="46"/>
      <c r="U52" s="46"/>
    </row>
    <row r="53" spans="1:21">
      <c r="A53" s="398" t="s">
        <v>13</v>
      </c>
      <c r="B53" s="46" t="s">
        <v>14</v>
      </c>
      <c r="C53" s="46"/>
      <c r="D53" s="46"/>
      <c r="E53" s="46"/>
      <c r="F53" s="46"/>
      <c r="G53" s="46"/>
      <c r="H53" s="46"/>
      <c r="I53" s="46"/>
      <c r="J53" s="46"/>
      <c r="K53" s="46"/>
      <c r="L53" s="46"/>
      <c r="M53" s="46"/>
      <c r="N53" s="46"/>
      <c r="O53" s="46"/>
      <c r="P53" s="46"/>
      <c r="Q53" s="46"/>
      <c r="R53" s="46"/>
      <c r="S53" s="46"/>
      <c r="T53" s="46"/>
      <c r="U53" s="46"/>
    </row>
    <row r="54" spans="1:21">
      <c r="A54" s="398" t="s">
        <v>15</v>
      </c>
      <c r="B54" s="412">
        <f>B59</f>
        <v>1.7999999999999999E-2</v>
      </c>
      <c r="C54" s="46"/>
      <c r="D54" s="46"/>
      <c r="E54" s="46"/>
      <c r="F54" s="46"/>
      <c r="G54" s="46"/>
      <c r="H54" s="46"/>
      <c r="I54" s="46"/>
      <c r="J54" s="46"/>
      <c r="K54" s="46"/>
      <c r="L54" s="46"/>
      <c r="M54" s="46"/>
      <c r="N54" s="46"/>
      <c r="O54" s="46"/>
      <c r="P54" s="46"/>
      <c r="Q54" s="46"/>
      <c r="R54" s="46"/>
      <c r="S54" s="46"/>
      <c r="T54" s="46"/>
      <c r="U54" s="46"/>
    </row>
    <row r="55" spans="1:21">
      <c r="A55" s="398" t="s">
        <v>16</v>
      </c>
      <c r="B55" s="46" t="s">
        <v>17</v>
      </c>
      <c r="C55" s="46"/>
      <c r="D55" s="46"/>
      <c r="E55" s="46"/>
      <c r="F55" s="46"/>
      <c r="G55" s="46"/>
      <c r="H55" s="46"/>
      <c r="I55" s="46"/>
      <c r="J55" s="46"/>
      <c r="K55" s="46"/>
      <c r="L55" s="46"/>
      <c r="M55" s="46"/>
      <c r="N55" s="46"/>
      <c r="O55" s="46"/>
      <c r="P55" s="46"/>
      <c r="Q55" s="46"/>
      <c r="R55" s="46"/>
      <c r="S55" s="46"/>
      <c r="T55" s="46"/>
      <c r="U55" s="46"/>
    </row>
    <row r="56" spans="1:21">
      <c r="A56" s="398" t="s">
        <v>18</v>
      </c>
      <c r="B56" s="46" t="s">
        <v>37</v>
      </c>
      <c r="C56" s="46"/>
      <c r="D56" s="46"/>
      <c r="E56" s="46"/>
      <c r="F56" s="46"/>
      <c r="G56" s="46"/>
      <c r="H56" s="46"/>
      <c r="I56" s="46"/>
      <c r="J56" s="46"/>
      <c r="K56" s="46"/>
      <c r="L56" s="46"/>
      <c r="M56" s="46"/>
      <c r="N56" s="46"/>
      <c r="O56" s="46"/>
      <c r="P56" s="46"/>
      <c r="Q56" s="46"/>
      <c r="R56" s="46"/>
      <c r="S56" s="46"/>
      <c r="T56" s="46"/>
      <c r="U56" s="46"/>
    </row>
    <row r="57" spans="1:21">
      <c r="A57" s="399" t="s">
        <v>19</v>
      </c>
      <c r="B57" s="46"/>
      <c r="C57" s="46"/>
      <c r="D57" s="46"/>
      <c r="E57" s="46"/>
      <c r="F57" s="46"/>
      <c r="G57" s="46"/>
      <c r="H57" s="46"/>
      <c r="I57" s="46"/>
      <c r="J57" s="46"/>
      <c r="K57" s="46"/>
      <c r="L57" s="46"/>
      <c r="M57" s="46"/>
      <c r="N57" s="46"/>
      <c r="O57" s="46"/>
      <c r="P57" s="46"/>
      <c r="Q57" s="46"/>
      <c r="R57" s="46"/>
      <c r="S57" s="46"/>
      <c r="T57" s="46"/>
      <c r="U57" s="46"/>
    </row>
    <row r="58" spans="1:21">
      <c r="A58" s="399" t="s">
        <v>20</v>
      </c>
      <c r="B58" s="336" t="s">
        <v>21</v>
      </c>
      <c r="C58" s="336" t="s">
        <v>18</v>
      </c>
      <c r="D58" s="336" t="s">
        <v>22</v>
      </c>
      <c r="E58" s="336" t="s">
        <v>7</v>
      </c>
      <c r="F58" s="336" t="s">
        <v>13</v>
      </c>
      <c r="G58" s="336" t="s">
        <v>16</v>
      </c>
      <c r="H58" s="336" t="s">
        <v>23</v>
      </c>
      <c r="I58" s="336" t="s">
        <v>24</v>
      </c>
      <c r="J58" s="336" t="s">
        <v>25</v>
      </c>
      <c r="K58" s="336" t="s">
        <v>26</v>
      </c>
      <c r="L58" s="336" t="s">
        <v>27</v>
      </c>
      <c r="M58" s="336" t="s">
        <v>28</v>
      </c>
      <c r="N58" s="336" t="s">
        <v>11</v>
      </c>
      <c r="O58" s="46"/>
      <c r="P58" s="46"/>
      <c r="Q58" s="46"/>
      <c r="R58" s="46"/>
      <c r="S58" s="46"/>
      <c r="T58" s="46"/>
      <c r="U58" s="46"/>
    </row>
    <row r="59" spans="1:21">
      <c r="A59" s="373" t="s">
        <v>1069</v>
      </c>
      <c r="B59" s="412">
        <v>1.7999999999999999E-2</v>
      </c>
      <c r="C59" s="46" t="s">
        <v>37</v>
      </c>
      <c r="D59" s="400" t="s">
        <v>2</v>
      </c>
      <c r="E59" s="46" t="s">
        <v>29</v>
      </c>
      <c r="F59" s="32" t="s">
        <v>14</v>
      </c>
      <c r="G59" s="46" t="s">
        <v>30</v>
      </c>
      <c r="H59" s="46">
        <v>1</v>
      </c>
      <c r="I59" s="46">
        <f>B59</f>
        <v>1.7999999999999999E-2</v>
      </c>
      <c r="J59" s="46" t="s">
        <v>31</v>
      </c>
      <c r="K59" s="46" t="s">
        <v>31</v>
      </c>
      <c r="L59" s="46" t="s">
        <v>31</v>
      </c>
      <c r="M59" s="46" t="s">
        <v>31</v>
      </c>
      <c r="N59" s="46"/>
      <c r="O59" s="62"/>
      <c r="P59" s="413"/>
      <c r="Q59" s="46"/>
      <c r="R59" s="46"/>
      <c r="S59" s="46"/>
      <c r="T59" s="46"/>
      <c r="U59" s="46"/>
    </row>
    <row r="60" spans="1:21">
      <c r="A60" s="61" t="s">
        <v>869</v>
      </c>
      <c r="B60" s="342">
        <f>R60</f>
        <v>1.9E-2</v>
      </c>
      <c r="C60" s="46" t="s">
        <v>37</v>
      </c>
      <c r="D60" s="46" t="s">
        <v>40</v>
      </c>
      <c r="E60" s="46" t="s">
        <v>29</v>
      </c>
      <c r="F60" s="32" t="s">
        <v>58</v>
      </c>
      <c r="G60" s="46" t="s">
        <v>33</v>
      </c>
      <c r="H60" s="46">
        <v>2</v>
      </c>
      <c r="I60" s="46">
        <f>LN(B60)</f>
        <v>-3.9633162998156966</v>
      </c>
      <c r="J60" s="46">
        <v>7.2284161474004766E-2</v>
      </c>
      <c r="K60" s="46" t="s">
        <v>31</v>
      </c>
      <c r="L60" s="46" t="s">
        <v>31</v>
      </c>
      <c r="M60" s="46" t="s">
        <v>31</v>
      </c>
      <c r="N60" s="46"/>
      <c r="O60" s="393" t="s">
        <v>575</v>
      </c>
      <c r="P60" s="120">
        <v>19</v>
      </c>
      <c r="Q60" s="46" t="s">
        <v>221</v>
      </c>
      <c r="R60" s="46">
        <f>P60*0.001</f>
        <v>1.9E-2</v>
      </c>
      <c r="S60" s="46"/>
      <c r="T60" s="46"/>
      <c r="U60" s="46"/>
    </row>
    <row r="61" spans="1:21">
      <c r="A61" s="398" t="s">
        <v>75</v>
      </c>
      <c r="B61" s="342">
        <f>P61</f>
        <v>0.09</v>
      </c>
      <c r="C61" s="46" t="s">
        <v>39</v>
      </c>
      <c r="D61" s="46" t="s">
        <v>40</v>
      </c>
      <c r="E61" s="46" t="s">
        <v>29</v>
      </c>
      <c r="F61" s="32" t="s">
        <v>35</v>
      </c>
      <c r="G61" s="46" t="s">
        <v>33</v>
      </c>
      <c r="H61" s="46">
        <v>2</v>
      </c>
      <c r="I61" s="46">
        <f t="shared" ref="I61:I62" si="6">LN(B61)</f>
        <v>-2.4079456086518722</v>
      </c>
      <c r="J61" s="46">
        <v>7.2284161474004766E-2</v>
      </c>
      <c r="K61" s="46" t="s">
        <v>31</v>
      </c>
      <c r="L61" s="46" t="s">
        <v>31</v>
      </c>
      <c r="M61" s="46" t="s">
        <v>31</v>
      </c>
      <c r="N61" s="46"/>
      <c r="O61" s="393" t="s">
        <v>216</v>
      </c>
      <c r="P61" s="120">
        <v>0.09</v>
      </c>
      <c r="Q61" s="46"/>
      <c r="R61" s="46"/>
      <c r="S61" s="46"/>
      <c r="T61" s="46"/>
      <c r="U61" s="46"/>
    </row>
    <row r="62" spans="1:21">
      <c r="A62" s="373" t="s">
        <v>783</v>
      </c>
      <c r="B62" s="46">
        <v>1E-3</v>
      </c>
      <c r="C62" s="46" t="s">
        <v>37</v>
      </c>
      <c r="D62" s="400" t="s">
        <v>2</v>
      </c>
      <c r="E62" s="46" t="s">
        <v>29</v>
      </c>
      <c r="F62" s="32" t="s">
        <v>741</v>
      </c>
      <c r="G62" s="46" t="s">
        <v>33</v>
      </c>
      <c r="H62" s="46">
        <v>2</v>
      </c>
      <c r="I62" s="46">
        <f t="shared" si="6"/>
        <v>-6.9077552789821368</v>
      </c>
      <c r="J62" s="46">
        <v>7.2284161474004766E-2</v>
      </c>
      <c r="K62" s="46" t="s">
        <v>31</v>
      </c>
      <c r="L62" s="46" t="s">
        <v>31</v>
      </c>
      <c r="M62" s="46" t="s">
        <v>31</v>
      </c>
      <c r="N62" s="46"/>
      <c r="O62" s="46"/>
      <c r="P62" s="46"/>
      <c r="Q62" s="46"/>
      <c r="R62" s="46"/>
      <c r="S62" s="46"/>
      <c r="T62" s="46"/>
      <c r="U62" s="46"/>
    </row>
    <row r="63" spans="1:21" s="17" customFormat="1" ht="15.75">
      <c r="A63" s="396" t="s">
        <v>5</v>
      </c>
      <c r="B63" s="363" t="s">
        <v>1068</v>
      </c>
      <c r="C63" s="364"/>
      <c r="D63" s="345"/>
      <c r="E63" s="345"/>
      <c r="F63" s="345"/>
      <c r="G63" s="345"/>
      <c r="H63" s="345"/>
      <c r="I63" s="345"/>
      <c r="J63" s="345"/>
      <c r="K63" s="345"/>
      <c r="L63" s="345"/>
      <c r="M63" s="345"/>
      <c r="N63" s="345"/>
      <c r="O63" s="414"/>
      <c r="P63" s="414"/>
      <c r="Q63" s="414"/>
      <c r="R63" s="414"/>
    </row>
    <row r="64" spans="1:21" s="17" customFormat="1" ht="15.75">
      <c r="A64" s="398" t="s">
        <v>7</v>
      </c>
      <c r="B64" s="46" t="s">
        <v>779</v>
      </c>
      <c r="C64" s="337"/>
      <c r="D64" s="46"/>
      <c r="E64" s="46"/>
      <c r="F64" s="46"/>
      <c r="G64" s="46"/>
      <c r="H64" s="46"/>
      <c r="I64" s="46"/>
      <c r="J64" s="46"/>
      <c r="K64" s="46"/>
      <c r="L64" s="46"/>
      <c r="M64" s="46"/>
      <c r="N64" s="46"/>
    </row>
    <row r="65" spans="1:16" s="17" customFormat="1" ht="15.75">
      <c r="A65" s="398" t="s">
        <v>9</v>
      </c>
      <c r="B65" s="46" t="s">
        <v>1071</v>
      </c>
      <c r="C65" s="337"/>
      <c r="D65" s="46"/>
      <c r="E65" s="46"/>
      <c r="F65" s="46"/>
      <c r="G65" s="46"/>
      <c r="H65" s="46"/>
      <c r="I65" s="46"/>
      <c r="J65" s="46"/>
      <c r="K65" s="46"/>
      <c r="L65" s="46"/>
      <c r="M65" s="46"/>
      <c r="N65" s="46"/>
    </row>
    <row r="66" spans="1:16" s="17" customFormat="1" ht="10.5" customHeight="1">
      <c r="A66" s="398" t="s">
        <v>11</v>
      </c>
      <c r="B66" s="339" t="s">
        <v>789</v>
      </c>
      <c r="C66" s="46"/>
      <c r="D66" s="46"/>
      <c r="E66" s="46"/>
      <c r="F66" s="46"/>
      <c r="G66" s="46"/>
      <c r="H66" s="46"/>
      <c r="I66" s="46"/>
      <c r="J66" s="46"/>
      <c r="K66" s="46"/>
      <c r="L66" s="46"/>
      <c r="M66" s="46"/>
      <c r="N66" s="46"/>
    </row>
    <row r="67" spans="1:16" s="17" customFormat="1" ht="15.75">
      <c r="A67" s="398" t="s">
        <v>13</v>
      </c>
      <c r="B67" s="46" t="s">
        <v>14</v>
      </c>
      <c r="C67" s="46"/>
      <c r="D67" s="46"/>
      <c r="E67" s="46"/>
      <c r="F67" s="46"/>
      <c r="G67" s="46"/>
      <c r="H67" s="46"/>
      <c r="I67" s="46"/>
      <c r="J67" s="46"/>
      <c r="K67" s="46"/>
      <c r="L67" s="46"/>
      <c r="M67" s="46"/>
      <c r="N67" s="46"/>
    </row>
    <row r="68" spans="1:16" s="17" customFormat="1" ht="15.75">
      <c r="A68" s="398" t="s">
        <v>15</v>
      </c>
      <c r="B68" s="350">
        <f>B73</f>
        <v>0.28000000000000003</v>
      </c>
      <c r="C68" s="46"/>
      <c r="D68" s="46"/>
      <c r="E68" s="46"/>
      <c r="F68" s="46"/>
      <c r="G68" s="46"/>
      <c r="H68" s="46"/>
      <c r="I68" s="46"/>
      <c r="J68" s="46"/>
      <c r="K68" s="46"/>
      <c r="L68" s="46"/>
      <c r="M68" s="46"/>
      <c r="N68" s="46"/>
    </row>
    <row r="69" spans="1:16" s="17" customFormat="1" ht="15.75">
      <c r="A69" s="398" t="s">
        <v>16</v>
      </c>
      <c r="B69" s="46" t="s">
        <v>17</v>
      </c>
      <c r="C69" s="46"/>
      <c r="D69" s="46"/>
      <c r="E69" s="46"/>
      <c r="F69" s="46"/>
      <c r="G69" s="46"/>
      <c r="H69" s="46"/>
      <c r="I69" s="46"/>
      <c r="J69" s="46"/>
      <c r="K69" s="46"/>
      <c r="L69" s="46"/>
      <c r="M69" s="46"/>
      <c r="N69" s="46"/>
    </row>
    <row r="70" spans="1:16" s="17" customFormat="1" ht="15.75">
      <c r="A70" s="398" t="s">
        <v>18</v>
      </c>
      <c r="B70" s="46" t="s">
        <v>37</v>
      </c>
      <c r="C70" s="46"/>
      <c r="D70" s="46"/>
      <c r="E70" s="46"/>
      <c r="F70" s="46"/>
      <c r="G70" s="46"/>
      <c r="H70" s="46"/>
      <c r="I70" s="46"/>
      <c r="J70" s="46"/>
      <c r="K70" s="46"/>
      <c r="L70" s="46"/>
      <c r="M70" s="46"/>
      <c r="N70" s="46"/>
    </row>
    <row r="71" spans="1:16" s="17" customFormat="1" ht="15.75">
      <c r="A71" s="399" t="s">
        <v>19</v>
      </c>
      <c r="B71" s="46"/>
      <c r="C71" s="46"/>
      <c r="D71" s="46"/>
      <c r="E71" s="46"/>
      <c r="F71" s="46"/>
      <c r="G71" s="46"/>
      <c r="H71" s="46"/>
      <c r="I71" s="46"/>
      <c r="J71" s="46"/>
      <c r="K71" s="46"/>
      <c r="L71" s="46"/>
      <c r="M71" s="46"/>
      <c r="N71" s="46"/>
    </row>
    <row r="72" spans="1:16" s="17" customFormat="1" ht="15.75">
      <c r="A72" s="399" t="s">
        <v>20</v>
      </c>
      <c r="B72" s="336" t="s">
        <v>21</v>
      </c>
      <c r="C72" s="336" t="s">
        <v>18</v>
      </c>
      <c r="D72" s="336" t="s">
        <v>22</v>
      </c>
      <c r="E72" s="336" t="s">
        <v>7</v>
      </c>
      <c r="F72" s="336" t="s">
        <v>13</v>
      </c>
      <c r="G72" s="336" t="s">
        <v>16</v>
      </c>
      <c r="H72" s="336" t="s">
        <v>23</v>
      </c>
      <c r="I72" s="336" t="s">
        <v>24</v>
      </c>
      <c r="J72" s="336" t="s">
        <v>25</v>
      </c>
      <c r="K72" s="336" t="s">
        <v>26</v>
      </c>
      <c r="L72" s="336" t="s">
        <v>27</v>
      </c>
      <c r="M72" s="336" t="s">
        <v>28</v>
      </c>
      <c r="N72" s="336" t="s">
        <v>11</v>
      </c>
    </row>
    <row r="73" spans="1:16" s="17" customFormat="1" ht="15.75">
      <c r="A73" s="373" t="s">
        <v>1068</v>
      </c>
      <c r="B73" s="342">
        <v>0.28000000000000003</v>
      </c>
      <c r="C73" s="46" t="s">
        <v>37</v>
      </c>
      <c r="D73" s="400" t="s">
        <v>2</v>
      </c>
      <c r="E73" s="46" t="s">
        <v>29</v>
      </c>
      <c r="F73" s="32" t="s">
        <v>14</v>
      </c>
      <c r="G73" s="46" t="s">
        <v>30</v>
      </c>
      <c r="H73" s="46">
        <v>1</v>
      </c>
      <c r="I73" s="350">
        <f>B73</f>
        <v>0.28000000000000003</v>
      </c>
      <c r="J73" s="46" t="s">
        <v>31</v>
      </c>
      <c r="K73" s="46" t="s">
        <v>31</v>
      </c>
      <c r="L73" s="46" t="s">
        <v>31</v>
      </c>
      <c r="M73" s="46" t="s">
        <v>31</v>
      </c>
      <c r="N73" s="46"/>
      <c r="O73" s="44"/>
      <c r="P73" s="415"/>
    </row>
    <row r="74" spans="1:16" s="17" customFormat="1" ht="15.75">
      <c r="A74" s="61" t="s">
        <v>704</v>
      </c>
      <c r="B74" s="342">
        <v>0.28000000000000003</v>
      </c>
      <c r="C74" s="46" t="s">
        <v>37</v>
      </c>
      <c r="D74" s="46" t="s">
        <v>40</v>
      </c>
      <c r="E74" s="46" t="s">
        <v>29</v>
      </c>
      <c r="F74" s="32" t="s">
        <v>58</v>
      </c>
      <c r="G74" s="46" t="s">
        <v>33</v>
      </c>
      <c r="H74" s="46">
        <v>1</v>
      </c>
      <c r="I74" s="350">
        <f t="shared" ref="I74:I75" si="7">B74</f>
        <v>0.28000000000000003</v>
      </c>
      <c r="J74" s="46" t="s">
        <v>31</v>
      </c>
      <c r="K74" s="46" t="s">
        <v>31</v>
      </c>
      <c r="L74" s="46" t="s">
        <v>31</v>
      </c>
      <c r="M74" s="46" t="s">
        <v>31</v>
      </c>
      <c r="N74" s="46"/>
      <c r="O74" s="44"/>
      <c r="P74" s="415"/>
    </row>
    <row r="75" spans="1:16" s="17" customFormat="1" ht="15.75">
      <c r="A75" s="61" t="s">
        <v>871</v>
      </c>
      <c r="B75" s="342">
        <v>0.28000000000000003</v>
      </c>
      <c r="C75" s="46" t="s">
        <v>37</v>
      </c>
      <c r="D75" s="46" t="s">
        <v>40</v>
      </c>
      <c r="E75" s="46" t="s">
        <v>29</v>
      </c>
      <c r="F75" s="32" t="s">
        <v>58</v>
      </c>
      <c r="G75" s="46" t="s">
        <v>33</v>
      </c>
      <c r="H75" s="46">
        <v>1</v>
      </c>
      <c r="I75" s="350">
        <f t="shared" si="7"/>
        <v>0.28000000000000003</v>
      </c>
      <c r="J75" s="46" t="s">
        <v>31</v>
      </c>
      <c r="K75" s="46" t="s">
        <v>31</v>
      </c>
      <c r="L75" s="46" t="s">
        <v>31</v>
      </c>
      <c r="M75" s="46" t="s">
        <v>31</v>
      </c>
      <c r="N75" s="46"/>
      <c r="O75" s="44"/>
      <c r="P75" s="415"/>
    </row>
    <row r="76" spans="1:16" s="414" customFormat="1" ht="15.75">
      <c r="A76" s="362" t="s">
        <v>5</v>
      </c>
      <c r="B76" s="363" t="s">
        <v>1072</v>
      </c>
      <c r="C76" s="364"/>
      <c r="D76" s="345"/>
      <c r="E76" s="345"/>
      <c r="F76" s="345"/>
      <c r="G76" s="345"/>
      <c r="H76" s="345"/>
      <c r="I76" s="345"/>
      <c r="J76" s="345"/>
      <c r="K76" s="345"/>
      <c r="L76" s="345"/>
      <c r="M76" s="345"/>
      <c r="N76" s="345"/>
    </row>
    <row r="77" spans="1:16" s="17" customFormat="1" ht="15.75">
      <c r="A77" s="338" t="s">
        <v>7</v>
      </c>
      <c r="B77" s="46" t="s">
        <v>779</v>
      </c>
      <c r="C77" s="337"/>
      <c r="D77" s="46"/>
      <c r="E77" s="46"/>
      <c r="F77" s="46"/>
      <c r="G77" s="46"/>
      <c r="H77" s="46"/>
      <c r="I77" s="46"/>
      <c r="J77" s="46"/>
      <c r="K77" s="46"/>
      <c r="L77" s="46"/>
      <c r="M77" s="46"/>
      <c r="N77" s="46"/>
    </row>
    <row r="78" spans="1:16" s="17" customFormat="1" ht="15.75">
      <c r="A78" s="416" t="s">
        <v>9</v>
      </c>
      <c r="B78" s="46" t="s">
        <v>1073</v>
      </c>
      <c r="C78" s="337"/>
      <c r="D78" s="46"/>
      <c r="E78" s="46"/>
      <c r="F78" s="46"/>
      <c r="G78" s="46"/>
      <c r="H78" s="46"/>
      <c r="I78" s="46"/>
      <c r="J78" s="46"/>
      <c r="K78" s="46"/>
      <c r="L78" s="46"/>
      <c r="M78" s="46"/>
      <c r="N78" s="46"/>
    </row>
    <row r="79" spans="1:16" s="17" customFormat="1" ht="15.75" customHeight="1">
      <c r="A79" s="338" t="s">
        <v>11</v>
      </c>
      <c r="B79" s="339" t="s">
        <v>789</v>
      </c>
      <c r="C79" s="46"/>
      <c r="D79" s="46"/>
      <c r="E79" s="46"/>
      <c r="F79" s="46"/>
      <c r="G79" s="46"/>
      <c r="H79" s="46"/>
      <c r="I79" s="46"/>
      <c r="J79" s="46"/>
      <c r="K79" s="46"/>
      <c r="L79" s="46"/>
      <c r="M79" s="46"/>
      <c r="N79" s="46"/>
    </row>
    <row r="80" spans="1:16" s="17" customFormat="1" ht="15.75">
      <c r="A80" s="338" t="s">
        <v>13</v>
      </c>
      <c r="B80" s="46" t="s">
        <v>14</v>
      </c>
      <c r="C80" s="46"/>
      <c r="D80" s="46"/>
      <c r="E80" s="46"/>
      <c r="F80" s="46"/>
      <c r="G80" s="46"/>
      <c r="H80" s="46"/>
      <c r="I80" s="46"/>
      <c r="J80" s="46"/>
      <c r="K80" s="46"/>
      <c r="L80" s="46"/>
      <c r="M80" s="46"/>
      <c r="N80" s="46"/>
    </row>
    <row r="81" spans="1:19" s="17" customFormat="1" ht="15.75">
      <c r="A81" s="338" t="s">
        <v>15</v>
      </c>
      <c r="B81" s="417">
        <f>B86</f>
        <v>5.0199999999999996</v>
      </c>
      <c r="C81" s="46"/>
      <c r="D81" s="46"/>
      <c r="E81" s="46"/>
      <c r="F81" s="46"/>
      <c r="G81" s="46"/>
      <c r="H81" s="46"/>
      <c r="I81" s="46"/>
      <c r="J81" s="46"/>
      <c r="K81" s="46"/>
      <c r="L81" s="46"/>
      <c r="M81" s="46"/>
      <c r="N81" s="46"/>
    </row>
    <row r="82" spans="1:19" s="17" customFormat="1" ht="15.75">
      <c r="A82" s="338" t="s">
        <v>16</v>
      </c>
      <c r="B82" s="46" t="s">
        <v>17</v>
      </c>
      <c r="C82" s="46"/>
      <c r="D82" s="46"/>
      <c r="E82" s="46"/>
      <c r="F82" s="46"/>
      <c r="G82" s="46"/>
      <c r="H82" s="46"/>
      <c r="I82" s="46"/>
      <c r="J82" s="46"/>
      <c r="K82" s="46"/>
      <c r="L82" s="46"/>
      <c r="M82" s="46"/>
      <c r="N82" s="46"/>
    </row>
    <row r="83" spans="1:19" s="17" customFormat="1" ht="15.75">
      <c r="A83" s="338" t="s">
        <v>18</v>
      </c>
      <c r="B83" s="46" t="s">
        <v>37</v>
      </c>
      <c r="C83" s="46"/>
      <c r="D83" s="46"/>
      <c r="E83" s="46"/>
      <c r="F83" s="46"/>
      <c r="G83" s="46"/>
      <c r="H83" s="46"/>
      <c r="I83" s="46"/>
      <c r="J83" s="46"/>
      <c r="K83" s="46"/>
      <c r="L83" s="46"/>
      <c r="M83" s="46"/>
      <c r="N83" s="46"/>
      <c r="S83" s="418"/>
    </row>
    <row r="84" spans="1:19" s="17" customFormat="1" ht="15.75">
      <c r="A84" s="335" t="s">
        <v>19</v>
      </c>
      <c r="B84" s="46"/>
      <c r="C84" s="46"/>
      <c r="D84" s="46"/>
      <c r="E84" s="46"/>
      <c r="F84" s="46"/>
      <c r="G84" s="46"/>
      <c r="H84" s="46"/>
      <c r="I84" s="46"/>
      <c r="J84" s="46"/>
      <c r="K84" s="46"/>
      <c r="L84" s="46"/>
      <c r="M84" s="46"/>
      <c r="N84" s="46"/>
    </row>
    <row r="85" spans="1:19" s="17" customFormat="1" ht="15.75">
      <c r="A85" s="336" t="s">
        <v>20</v>
      </c>
      <c r="B85" s="336" t="s">
        <v>21</v>
      </c>
      <c r="C85" s="336" t="s">
        <v>18</v>
      </c>
      <c r="D85" s="336" t="s">
        <v>22</v>
      </c>
      <c r="E85" s="336" t="s">
        <v>7</v>
      </c>
      <c r="F85" s="336" t="s">
        <v>13</v>
      </c>
      <c r="G85" s="336" t="s">
        <v>16</v>
      </c>
      <c r="H85" s="336" t="s">
        <v>23</v>
      </c>
      <c r="I85" s="336" t="s">
        <v>24</v>
      </c>
      <c r="J85" s="336" t="s">
        <v>25</v>
      </c>
      <c r="K85" s="336" t="s">
        <v>26</v>
      </c>
      <c r="L85" s="336" t="s">
        <v>27</v>
      </c>
      <c r="M85" s="336" t="s">
        <v>28</v>
      </c>
      <c r="N85" s="336" t="s">
        <v>11</v>
      </c>
    </row>
    <row r="86" spans="1:19" s="17" customFormat="1" ht="15.75">
      <c r="A86" s="46" t="s">
        <v>1072</v>
      </c>
      <c r="B86" s="350">
        <v>5.0199999999999996</v>
      </c>
      <c r="C86" s="46" t="s">
        <v>37</v>
      </c>
      <c r="D86" s="400" t="s">
        <v>2</v>
      </c>
      <c r="E86" s="46" t="s">
        <v>29</v>
      </c>
      <c r="F86" s="46" t="s">
        <v>14</v>
      </c>
      <c r="G86" s="46" t="s">
        <v>874</v>
      </c>
      <c r="H86" s="46">
        <v>1</v>
      </c>
      <c r="I86" s="350">
        <f>B86</f>
        <v>5.0199999999999996</v>
      </c>
      <c r="J86" s="46" t="s">
        <v>31</v>
      </c>
      <c r="K86" s="46" t="s">
        <v>31</v>
      </c>
      <c r="L86" s="46" t="s">
        <v>31</v>
      </c>
      <c r="M86" s="46" t="s">
        <v>31</v>
      </c>
      <c r="N86" s="46"/>
      <c r="O86" s="44"/>
      <c r="P86" s="415"/>
    </row>
    <row r="87" spans="1:19" s="17" customFormat="1" ht="15.75">
      <c r="A87" s="47" t="s">
        <v>655</v>
      </c>
      <c r="B87" s="350">
        <v>5.0199999999999996</v>
      </c>
      <c r="C87" s="46" t="s">
        <v>37</v>
      </c>
      <c r="D87" s="46" t="s">
        <v>40</v>
      </c>
      <c r="E87" s="46" t="s">
        <v>29</v>
      </c>
      <c r="F87" s="32" t="s">
        <v>58</v>
      </c>
      <c r="G87" s="46" t="s">
        <v>33</v>
      </c>
      <c r="H87" s="46">
        <v>1</v>
      </c>
      <c r="I87" s="350">
        <f t="shared" ref="I87:I89" si="8">B87</f>
        <v>5.0199999999999996</v>
      </c>
      <c r="J87" s="46" t="s">
        <v>31</v>
      </c>
      <c r="K87" s="46" t="s">
        <v>31</v>
      </c>
      <c r="L87" s="46" t="s">
        <v>31</v>
      </c>
      <c r="M87" s="46" t="s">
        <v>31</v>
      </c>
      <c r="N87" s="46"/>
      <c r="O87" s="44"/>
      <c r="P87" s="415"/>
    </row>
    <row r="88" spans="1:19" s="17" customFormat="1" ht="15.75">
      <c r="A88" s="47" t="s">
        <v>624</v>
      </c>
      <c r="B88" s="350">
        <v>5.0199999999999996</v>
      </c>
      <c r="C88" s="46" t="s">
        <v>37</v>
      </c>
      <c r="D88" s="46" t="s">
        <v>40</v>
      </c>
      <c r="E88" s="46" t="s">
        <v>29</v>
      </c>
      <c r="F88" s="32" t="s">
        <v>58</v>
      </c>
      <c r="G88" s="46" t="s">
        <v>33</v>
      </c>
      <c r="H88" s="46">
        <v>1</v>
      </c>
      <c r="I88" s="350">
        <f t="shared" si="8"/>
        <v>5.0199999999999996</v>
      </c>
      <c r="J88" s="46" t="s">
        <v>31</v>
      </c>
      <c r="K88" s="46" t="s">
        <v>31</v>
      </c>
      <c r="L88" s="46" t="s">
        <v>31</v>
      </c>
      <c r="M88" s="46" t="s">
        <v>31</v>
      </c>
      <c r="N88" s="46"/>
      <c r="O88" s="44"/>
      <c r="P88" s="415"/>
    </row>
    <row r="89" spans="1:19" s="17" customFormat="1" ht="15.75">
      <c r="A89" s="47" t="s">
        <v>875</v>
      </c>
      <c r="B89" s="350">
        <v>5.0199999999999996</v>
      </c>
      <c r="C89" s="46" t="s">
        <v>37</v>
      </c>
      <c r="D89" s="46" t="s">
        <v>40</v>
      </c>
      <c r="E89" s="46" t="s">
        <v>29</v>
      </c>
      <c r="F89" s="32" t="s">
        <v>35</v>
      </c>
      <c r="G89" s="46" t="s">
        <v>33</v>
      </c>
      <c r="H89" s="46">
        <v>1</v>
      </c>
      <c r="I89" s="350">
        <f t="shared" si="8"/>
        <v>5.0199999999999996</v>
      </c>
      <c r="J89" s="46" t="s">
        <v>31</v>
      </c>
      <c r="K89" s="46" t="s">
        <v>31</v>
      </c>
      <c r="L89" s="46" t="s">
        <v>31</v>
      </c>
      <c r="M89" s="46" t="s">
        <v>31</v>
      </c>
      <c r="N89" s="46"/>
      <c r="O89" s="44"/>
      <c r="P89" s="415"/>
    </row>
    <row r="90" spans="1:19" s="17" customFormat="1" ht="15.75">
      <c r="A90" s="362" t="s">
        <v>5</v>
      </c>
      <c r="B90" s="363" t="s">
        <v>1059</v>
      </c>
      <c r="C90" s="364"/>
      <c r="D90" s="345"/>
      <c r="E90" s="345"/>
      <c r="F90" s="345"/>
      <c r="G90" s="345"/>
      <c r="H90" s="345"/>
      <c r="I90" s="345"/>
      <c r="J90" s="345"/>
      <c r="K90" s="345"/>
      <c r="L90" s="345"/>
      <c r="M90" s="345"/>
      <c r="N90" s="46"/>
    </row>
    <row r="91" spans="1:19" s="17" customFormat="1" ht="15.75">
      <c r="A91" s="338" t="s">
        <v>7</v>
      </c>
      <c r="B91" s="46" t="s">
        <v>779</v>
      </c>
      <c r="C91" s="337"/>
      <c r="D91" s="46"/>
      <c r="E91" s="46"/>
      <c r="F91" s="46"/>
      <c r="G91" s="46"/>
      <c r="H91" s="46"/>
      <c r="I91" s="46"/>
      <c r="J91" s="46"/>
      <c r="K91" s="46"/>
      <c r="L91" s="46"/>
      <c r="M91" s="46"/>
      <c r="N91" s="46"/>
    </row>
    <row r="92" spans="1:19" s="17" customFormat="1" ht="15.75">
      <c r="A92" s="338" t="s">
        <v>9</v>
      </c>
      <c r="B92" s="373" t="s">
        <v>1074</v>
      </c>
      <c r="C92" s="337"/>
      <c r="D92" s="46"/>
      <c r="E92" s="46"/>
      <c r="F92" s="46"/>
      <c r="G92" s="46"/>
      <c r="H92" s="46"/>
      <c r="I92" s="46"/>
      <c r="J92" s="46"/>
      <c r="K92" s="46"/>
      <c r="L92" s="46"/>
      <c r="M92" s="46"/>
      <c r="N92" s="46"/>
    </row>
    <row r="93" spans="1:19" s="17" customFormat="1" ht="15.75">
      <c r="A93" s="338" t="s">
        <v>11</v>
      </c>
      <c r="B93" s="339" t="s">
        <v>781</v>
      </c>
      <c r="C93" s="46"/>
      <c r="D93" s="46"/>
      <c r="E93" s="46"/>
      <c r="F93" s="46"/>
      <c r="G93" s="46"/>
      <c r="H93" s="46"/>
      <c r="I93" s="46"/>
      <c r="J93" s="46"/>
      <c r="K93" s="46"/>
      <c r="L93" s="46"/>
      <c r="M93" s="46"/>
      <c r="N93" s="46"/>
    </row>
    <row r="94" spans="1:19" s="17" customFormat="1" ht="15.75">
      <c r="A94" s="338" t="s">
        <v>13</v>
      </c>
      <c r="B94" s="32" t="s">
        <v>14</v>
      </c>
      <c r="C94" s="46"/>
      <c r="D94" s="46"/>
      <c r="E94" s="46"/>
      <c r="F94" s="46"/>
      <c r="G94" s="46"/>
      <c r="H94" s="46"/>
      <c r="I94" s="46"/>
      <c r="J94" s="46"/>
      <c r="K94" s="46"/>
      <c r="L94" s="46"/>
      <c r="M94" s="46"/>
      <c r="N94" s="46"/>
    </row>
    <row r="95" spans="1:19" s="17" customFormat="1" ht="15.75">
      <c r="A95" s="338" t="s">
        <v>15</v>
      </c>
      <c r="B95" s="46">
        <f>B100</f>
        <v>5.0199999999999996</v>
      </c>
      <c r="C95" s="46"/>
      <c r="D95" s="46"/>
      <c r="E95" s="46"/>
      <c r="F95" s="46"/>
      <c r="G95" s="46"/>
      <c r="H95" s="46"/>
      <c r="I95" s="46"/>
      <c r="J95" s="46"/>
      <c r="K95" s="46"/>
      <c r="L95" s="46"/>
      <c r="M95" s="46"/>
      <c r="N95" s="46"/>
    </row>
    <row r="96" spans="1:19" s="17" customFormat="1" ht="15.75">
      <c r="A96" s="338" t="s">
        <v>16</v>
      </c>
      <c r="B96" s="46" t="s">
        <v>17</v>
      </c>
      <c r="C96" s="46"/>
      <c r="D96" s="46"/>
      <c r="E96" s="46"/>
      <c r="F96" s="46"/>
      <c r="G96" s="46"/>
      <c r="H96" s="46"/>
      <c r="I96" s="46"/>
      <c r="J96" s="46"/>
      <c r="K96" s="46"/>
      <c r="L96" s="46"/>
      <c r="M96" s="46"/>
      <c r="N96" s="46"/>
    </row>
    <row r="97" spans="1:14" s="17" customFormat="1" ht="15.75">
      <c r="A97" s="338" t="s">
        <v>18</v>
      </c>
      <c r="B97" s="46" t="s">
        <v>37</v>
      </c>
      <c r="C97" s="46"/>
      <c r="D97" s="46"/>
      <c r="E97" s="46"/>
      <c r="F97" s="46"/>
      <c r="G97" s="46"/>
      <c r="H97" s="46"/>
      <c r="I97" s="46"/>
      <c r="J97" s="46"/>
      <c r="K97" s="46"/>
      <c r="L97" s="46"/>
      <c r="M97" s="46"/>
      <c r="N97" s="46"/>
    </row>
    <row r="98" spans="1:14" s="17" customFormat="1" ht="15.75">
      <c r="A98" s="335" t="s">
        <v>19</v>
      </c>
      <c r="B98" s="46"/>
      <c r="C98" s="46"/>
      <c r="D98" s="46"/>
      <c r="E98" s="46"/>
      <c r="F98" s="46"/>
      <c r="G98" s="46"/>
      <c r="H98" s="46"/>
      <c r="I98" s="46"/>
      <c r="J98" s="46"/>
      <c r="K98" s="46"/>
      <c r="L98" s="46"/>
      <c r="M98" s="46"/>
      <c r="N98" s="46"/>
    </row>
    <row r="99" spans="1:14" s="17" customFormat="1" ht="15.75">
      <c r="A99" s="335" t="s">
        <v>20</v>
      </c>
      <c r="B99" s="336" t="s">
        <v>21</v>
      </c>
      <c r="C99" s="336" t="s">
        <v>18</v>
      </c>
      <c r="D99" s="336" t="s">
        <v>22</v>
      </c>
      <c r="E99" s="336" t="s">
        <v>7</v>
      </c>
      <c r="F99" s="336" t="s">
        <v>13</v>
      </c>
      <c r="G99" s="336" t="s">
        <v>16</v>
      </c>
      <c r="H99" s="336" t="s">
        <v>23</v>
      </c>
      <c r="I99" s="336" t="s">
        <v>24</v>
      </c>
      <c r="J99" s="336" t="s">
        <v>25</v>
      </c>
      <c r="K99" s="336" t="s">
        <v>26</v>
      </c>
      <c r="L99" s="336" t="s">
        <v>27</v>
      </c>
      <c r="M99" s="336" t="s">
        <v>28</v>
      </c>
      <c r="N99" s="336" t="s">
        <v>11</v>
      </c>
    </row>
    <row r="100" spans="1:14" s="17" customFormat="1" ht="15.75">
      <c r="A100" s="62" t="s">
        <v>1059</v>
      </c>
      <c r="B100" s="472">
        <f>B81</f>
        <v>5.0199999999999996</v>
      </c>
      <c r="C100" s="46" t="s">
        <v>37</v>
      </c>
      <c r="D100" s="46" t="s">
        <v>2</v>
      </c>
      <c r="E100" s="46" t="s">
        <v>29</v>
      </c>
      <c r="F100" s="32" t="s">
        <v>14</v>
      </c>
      <c r="G100" s="46" t="s">
        <v>30</v>
      </c>
      <c r="H100" s="46">
        <v>1</v>
      </c>
      <c r="I100" s="46">
        <f>B100</f>
        <v>5.0199999999999996</v>
      </c>
      <c r="J100" s="46" t="s">
        <v>31</v>
      </c>
      <c r="K100" s="46" t="s">
        <v>31</v>
      </c>
      <c r="L100" s="46" t="s">
        <v>31</v>
      </c>
      <c r="M100" s="46" t="s">
        <v>31</v>
      </c>
      <c r="N100" s="46"/>
    </row>
    <row r="101" spans="1:14" s="17" customFormat="1" ht="15.75">
      <c r="A101" s="363" t="s">
        <v>1072</v>
      </c>
      <c r="B101" s="472">
        <f>B81</f>
        <v>5.0199999999999996</v>
      </c>
      <c r="C101" s="46" t="s">
        <v>37</v>
      </c>
      <c r="D101" s="46" t="s">
        <v>2</v>
      </c>
      <c r="E101" s="46" t="s">
        <v>29</v>
      </c>
      <c r="F101" s="32" t="s">
        <v>14</v>
      </c>
      <c r="G101" s="46" t="s">
        <v>33</v>
      </c>
      <c r="H101" s="46">
        <v>1</v>
      </c>
      <c r="I101" s="46">
        <f>B101</f>
        <v>5.0199999999999996</v>
      </c>
      <c r="J101" s="46" t="s">
        <v>31</v>
      </c>
      <c r="K101" s="46" t="s">
        <v>31</v>
      </c>
      <c r="L101" s="46" t="s">
        <v>31</v>
      </c>
      <c r="M101" s="46" t="s">
        <v>31</v>
      </c>
      <c r="N101" s="46"/>
    </row>
    <row r="102" spans="1:14" s="17" customFormat="1" ht="15.75">
      <c r="A102" s="121" t="s">
        <v>877</v>
      </c>
      <c r="B102" s="46">
        <v>2.5000000000000001E-2</v>
      </c>
      <c r="C102" s="46" t="s">
        <v>37</v>
      </c>
      <c r="D102" s="46" t="s">
        <v>40</v>
      </c>
      <c r="E102" s="46" t="s">
        <v>29</v>
      </c>
      <c r="F102" s="32" t="s">
        <v>128</v>
      </c>
      <c r="G102" s="46" t="s">
        <v>33</v>
      </c>
      <c r="H102" s="46">
        <v>1</v>
      </c>
      <c r="I102" s="46">
        <f t="shared" ref="I102:I104" si="9">B102</f>
        <v>2.5000000000000001E-2</v>
      </c>
      <c r="J102" s="46" t="s">
        <v>31</v>
      </c>
      <c r="K102" s="46" t="s">
        <v>31</v>
      </c>
      <c r="L102" s="46" t="s">
        <v>31</v>
      </c>
      <c r="M102" s="46" t="s">
        <v>31</v>
      </c>
      <c r="N102" s="46"/>
    </row>
    <row r="103" spans="1:14" s="17" customFormat="1" ht="15.75">
      <c r="A103" s="121" t="s">
        <v>878</v>
      </c>
      <c r="B103" s="46">
        <v>0.57999999999999996</v>
      </c>
      <c r="C103" s="46" t="s">
        <v>113</v>
      </c>
      <c r="D103" s="46" t="s">
        <v>40</v>
      </c>
      <c r="E103" s="46" t="s">
        <v>29</v>
      </c>
      <c r="F103" s="32" t="s">
        <v>58</v>
      </c>
      <c r="G103" s="46" t="s">
        <v>33</v>
      </c>
      <c r="H103" s="46">
        <v>1</v>
      </c>
      <c r="I103" s="46">
        <f t="shared" si="9"/>
        <v>0.57999999999999996</v>
      </c>
      <c r="J103" s="46" t="s">
        <v>31</v>
      </c>
      <c r="K103" s="46" t="s">
        <v>31</v>
      </c>
      <c r="L103" s="46" t="s">
        <v>31</v>
      </c>
      <c r="M103" s="46" t="s">
        <v>31</v>
      </c>
      <c r="N103" s="46"/>
    </row>
    <row r="104" spans="1:14" s="17" customFormat="1" ht="15.75">
      <c r="A104" s="121" t="s">
        <v>593</v>
      </c>
      <c r="B104" s="46">
        <v>2.5000000000000001E-2</v>
      </c>
      <c r="C104" s="46" t="s">
        <v>37</v>
      </c>
      <c r="D104" s="46" t="s">
        <v>40</v>
      </c>
      <c r="E104" s="46" t="s">
        <v>29</v>
      </c>
      <c r="F104" s="32" t="s">
        <v>58</v>
      </c>
      <c r="G104" s="46" t="s">
        <v>33</v>
      </c>
      <c r="H104" s="46">
        <v>1</v>
      </c>
      <c r="I104" s="46">
        <f t="shared" si="9"/>
        <v>2.5000000000000001E-2</v>
      </c>
      <c r="J104" s="46" t="s">
        <v>31</v>
      </c>
      <c r="K104" s="46" t="s">
        <v>31</v>
      </c>
      <c r="L104" s="46" t="s">
        <v>31</v>
      </c>
      <c r="M104" s="46" t="s">
        <v>31</v>
      </c>
      <c r="N104" s="46"/>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FB5C9-B964-456B-AA68-0A44DA34D899}">
  <sheetPr>
    <tabColor theme="7"/>
  </sheetPr>
  <dimension ref="A1:U47"/>
  <sheetViews>
    <sheetView zoomScale="70" zoomScaleNormal="70" workbookViewId="0">
      <selection activeCell="A36" sqref="A36"/>
    </sheetView>
  </sheetViews>
  <sheetFormatPr defaultRowHeight="12.75"/>
  <cols>
    <col min="1" max="1" width="68.7109375" style="46" bestFit="1" customWidth="1"/>
    <col min="2" max="2" width="13.5703125" style="46" customWidth="1"/>
    <col min="3" max="3" width="9.140625" style="46"/>
    <col min="4" max="4" width="23.42578125" style="46" customWidth="1"/>
    <col min="5" max="6" width="9.140625" style="46"/>
    <col min="7" max="7" width="12.7109375" style="46" customWidth="1"/>
    <col min="8" max="16384" width="9.140625" style="46"/>
  </cols>
  <sheetData>
    <row r="1" spans="1:21">
      <c r="A1" s="46" t="s">
        <v>0</v>
      </c>
      <c r="B1" s="46">
        <v>13</v>
      </c>
    </row>
    <row r="2" spans="1:21" s="345" customFormat="1">
      <c r="A2" s="362" t="s">
        <v>5</v>
      </c>
      <c r="B2" s="363" t="s">
        <v>1058</v>
      </c>
    </row>
    <row r="3" spans="1:21">
      <c r="A3" s="338" t="s">
        <v>7</v>
      </c>
      <c r="B3" s="46" t="s">
        <v>779</v>
      </c>
      <c r="C3" s="337"/>
    </row>
    <row r="4" spans="1:21">
      <c r="A4" s="416" t="s">
        <v>9</v>
      </c>
      <c r="B4" s="46" t="s">
        <v>1075</v>
      </c>
      <c r="C4" s="337"/>
    </row>
    <row r="5" spans="1:21" ht="15.75" customHeight="1">
      <c r="A5" s="338" t="s">
        <v>11</v>
      </c>
      <c r="B5" s="339" t="s">
        <v>789</v>
      </c>
    </row>
    <row r="6" spans="1:21">
      <c r="A6" s="338" t="s">
        <v>13</v>
      </c>
      <c r="B6" s="46" t="s">
        <v>14</v>
      </c>
    </row>
    <row r="7" spans="1:21">
      <c r="A7" s="338" t="s">
        <v>15</v>
      </c>
      <c r="B7" s="407">
        <f>B12</f>
        <v>0.03</v>
      </c>
    </row>
    <row r="8" spans="1:21">
      <c r="A8" s="338" t="s">
        <v>16</v>
      </c>
      <c r="B8" s="46" t="s">
        <v>17</v>
      </c>
      <c r="R8" s="336" t="s">
        <v>880</v>
      </c>
    </row>
    <row r="9" spans="1:21">
      <c r="A9" s="338" t="s">
        <v>18</v>
      </c>
      <c r="B9" s="46" t="s">
        <v>37</v>
      </c>
      <c r="R9" s="46" t="s">
        <v>881</v>
      </c>
      <c r="S9" s="46">
        <v>8900</v>
      </c>
      <c r="T9" s="46" t="s">
        <v>882</v>
      </c>
    </row>
    <row r="10" spans="1:21">
      <c r="A10" s="335" t="s">
        <v>19</v>
      </c>
      <c r="R10" s="46" t="s">
        <v>883</v>
      </c>
      <c r="S10" s="46">
        <f>5*10^-6</f>
        <v>4.9999999999999996E-6</v>
      </c>
      <c r="T10" s="46" t="s">
        <v>884</v>
      </c>
    </row>
    <row r="11" spans="1:21">
      <c r="A11" s="336"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c r="R11" s="419" t="s">
        <v>885</v>
      </c>
      <c r="S11" s="420">
        <f>S10*S9</f>
        <v>4.4499999999999998E-2</v>
      </c>
      <c r="T11" s="421" t="s">
        <v>886</v>
      </c>
    </row>
    <row r="12" spans="1:21">
      <c r="A12" s="46" t="s">
        <v>1058</v>
      </c>
      <c r="B12" s="453">
        <f>B45</f>
        <v>0.03</v>
      </c>
      <c r="C12" s="46" t="s">
        <v>37</v>
      </c>
      <c r="D12" s="400" t="s">
        <v>2</v>
      </c>
      <c r="E12" s="46" t="s">
        <v>29</v>
      </c>
      <c r="F12" s="46" t="s">
        <v>14</v>
      </c>
      <c r="G12" s="46" t="s">
        <v>30</v>
      </c>
      <c r="H12" s="46">
        <v>1</v>
      </c>
      <c r="I12" s="46">
        <f>B12</f>
        <v>0.03</v>
      </c>
      <c r="J12" s="46" t="s">
        <v>31</v>
      </c>
      <c r="K12" s="46" t="s">
        <v>31</v>
      </c>
      <c r="L12" s="46" t="s">
        <v>31</v>
      </c>
      <c r="M12" s="46" t="s">
        <v>31</v>
      </c>
      <c r="O12" s="46" t="s">
        <v>1001</v>
      </c>
      <c r="P12" s="442"/>
    </row>
    <row r="13" spans="1:21">
      <c r="A13" s="46" t="s">
        <v>1076</v>
      </c>
      <c r="B13" s="453">
        <f>B28</f>
        <v>0.03</v>
      </c>
      <c r="C13" s="46" t="s">
        <v>113</v>
      </c>
      <c r="D13" s="400" t="s">
        <v>2</v>
      </c>
      <c r="E13" s="46" t="s">
        <v>29</v>
      </c>
      <c r="F13" s="46" t="s">
        <v>14</v>
      </c>
      <c r="G13" s="46" t="s">
        <v>33</v>
      </c>
      <c r="H13" s="46">
        <v>1</v>
      </c>
      <c r="I13" s="46">
        <f>B13</f>
        <v>0.03</v>
      </c>
      <c r="J13" s="46">
        <v>7.2284161474004766E-2</v>
      </c>
      <c r="K13" s="46" t="s">
        <v>31</v>
      </c>
      <c r="L13" s="46" t="s">
        <v>31</v>
      </c>
      <c r="M13" s="46" t="s">
        <v>31</v>
      </c>
      <c r="O13" s="393" t="s">
        <v>887</v>
      </c>
      <c r="P13" s="454">
        <f>B13*100</f>
        <v>3</v>
      </c>
      <c r="R13" s="46" t="s">
        <v>548</v>
      </c>
      <c r="U13" s="402"/>
    </row>
    <row r="14" spans="1:21">
      <c r="A14" s="62" t="s">
        <v>1069</v>
      </c>
      <c r="B14" s="412">
        <f>T14</f>
        <v>3.8269999999999998E-2</v>
      </c>
      <c r="C14" s="46" t="s">
        <v>37</v>
      </c>
      <c r="D14" s="400" t="s">
        <v>2</v>
      </c>
      <c r="E14" s="46" t="s">
        <v>29</v>
      </c>
      <c r="F14" s="32" t="s">
        <v>14</v>
      </c>
      <c r="G14" s="46" t="s">
        <v>33</v>
      </c>
      <c r="H14" s="46">
        <v>1</v>
      </c>
      <c r="I14" s="46">
        <f>B14</f>
        <v>3.8269999999999998E-2</v>
      </c>
      <c r="J14" s="46">
        <v>7.2284161474004766E-2</v>
      </c>
      <c r="K14" s="46" t="s">
        <v>31</v>
      </c>
      <c r="L14" s="46" t="s">
        <v>31</v>
      </c>
      <c r="M14" s="46" t="s">
        <v>31</v>
      </c>
      <c r="O14" s="424"/>
      <c r="P14" s="425"/>
      <c r="R14" s="422">
        <v>0.86</v>
      </c>
      <c r="S14" s="423" t="s">
        <v>605</v>
      </c>
      <c r="T14" s="422">
        <f>R14*S11</f>
        <v>3.8269999999999998E-2</v>
      </c>
      <c r="U14" s="423" t="s">
        <v>221</v>
      </c>
    </row>
    <row r="15" spans="1:21" ht="15">
      <c r="A15" s="338" t="s">
        <v>792</v>
      </c>
      <c r="B15" s="46">
        <f>Q15</f>
        <v>6.9</v>
      </c>
      <c r="C15" s="46" t="s">
        <v>37</v>
      </c>
      <c r="D15" s="46" t="s">
        <v>40</v>
      </c>
      <c r="E15" s="46" t="s">
        <v>29</v>
      </c>
      <c r="F15" s="32" t="s">
        <v>741</v>
      </c>
      <c r="G15" s="46" t="s">
        <v>33</v>
      </c>
      <c r="H15" s="46">
        <v>2</v>
      </c>
      <c r="I15" s="46">
        <f t="shared" ref="I15" si="0">LN(B15)</f>
        <v>1.9315214116032138</v>
      </c>
      <c r="J15" s="46">
        <v>7.2284161474004766E-2</v>
      </c>
      <c r="K15" s="46" t="s">
        <v>31</v>
      </c>
      <c r="L15" s="46" t="s">
        <v>31</v>
      </c>
      <c r="M15" s="46" t="s">
        <v>31</v>
      </c>
      <c r="O15" s="393" t="s">
        <v>221</v>
      </c>
      <c r="P15" s="120">
        <v>6.9</v>
      </c>
      <c r="Q15" s="46">
        <f>P15</f>
        <v>6.9</v>
      </c>
    </row>
    <row r="16" spans="1:21" ht="15">
      <c r="A16" s="47" t="s">
        <v>869</v>
      </c>
      <c r="B16" s="46">
        <f t="shared" ref="B16:B17" si="1">Q16</f>
        <v>2.9999999999999997E-4</v>
      </c>
      <c r="C16" s="46" t="s">
        <v>37</v>
      </c>
      <c r="D16" s="46" t="s">
        <v>40</v>
      </c>
      <c r="E16" s="46" t="s">
        <v>29</v>
      </c>
      <c r="F16" s="32" t="s">
        <v>58</v>
      </c>
      <c r="G16" s="46" t="s">
        <v>33</v>
      </c>
      <c r="H16" s="46">
        <v>2</v>
      </c>
      <c r="I16" s="46">
        <f>LN(B16)</f>
        <v>-8.1117280833080727</v>
      </c>
      <c r="J16" s="46">
        <v>7.2284161474004766E-2</v>
      </c>
      <c r="K16" s="46" t="s">
        <v>31</v>
      </c>
      <c r="L16" s="46" t="s">
        <v>31</v>
      </c>
      <c r="M16" s="46" t="s">
        <v>31</v>
      </c>
      <c r="O16" s="408" t="s">
        <v>523</v>
      </c>
      <c r="P16" s="168">
        <v>0.3</v>
      </c>
      <c r="Q16" s="46">
        <f>0.001*P16</f>
        <v>2.9999999999999997E-4</v>
      </c>
    </row>
    <row r="17" spans="1:20" ht="15">
      <c r="A17" s="47" t="s">
        <v>226</v>
      </c>
      <c r="B17" s="46">
        <f t="shared" si="1"/>
        <v>6.9000000000000008E-3</v>
      </c>
      <c r="C17" s="46" t="s">
        <v>42</v>
      </c>
      <c r="D17" s="46" t="s">
        <v>40</v>
      </c>
      <c r="E17" s="46" t="s">
        <v>29</v>
      </c>
      <c r="F17" s="32" t="s">
        <v>741</v>
      </c>
      <c r="G17" s="46" t="s">
        <v>33</v>
      </c>
      <c r="H17" s="46">
        <v>2</v>
      </c>
      <c r="I17" s="46">
        <f t="shared" ref="I17" si="2">LN(B17)</f>
        <v>-4.976233867378923</v>
      </c>
      <c r="J17" s="46">
        <v>7.2284161474004766E-2</v>
      </c>
      <c r="K17" s="46" t="s">
        <v>31</v>
      </c>
      <c r="L17" s="46" t="s">
        <v>31</v>
      </c>
      <c r="M17" s="46" t="s">
        <v>31</v>
      </c>
      <c r="O17" s="410" t="s">
        <v>858</v>
      </c>
      <c r="P17" s="155">
        <v>6.9</v>
      </c>
      <c r="Q17" s="46">
        <f>0.001*P17</f>
        <v>6.9000000000000008E-3</v>
      </c>
    </row>
    <row r="18" spans="1:20" s="345" customFormat="1">
      <c r="A18" s="362" t="s">
        <v>5</v>
      </c>
      <c r="B18" s="363" t="s">
        <v>1076</v>
      </c>
    </row>
    <row r="19" spans="1:20">
      <c r="A19" s="338" t="s">
        <v>7</v>
      </c>
      <c r="B19" s="46" t="s">
        <v>779</v>
      </c>
      <c r="C19" s="337"/>
    </row>
    <row r="20" spans="1:20">
      <c r="A20" s="416" t="s">
        <v>9</v>
      </c>
      <c r="B20" s="46" t="s">
        <v>1077</v>
      </c>
      <c r="C20" s="337"/>
    </row>
    <row r="21" spans="1:20" ht="15.75" customHeight="1">
      <c r="A21" s="338" t="s">
        <v>11</v>
      </c>
      <c r="B21" s="339" t="s">
        <v>789</v>
      </c>
    </row>
    <row r="22" spans="1:20">
      <c r="A22" s="338" t="s">
        <v>13</v>
      </c>
      <c r="B22" s="46" t="s">
        <v>14</v>
      </c>
    </row>
    <row r="23" spans="1:20">
      <c r="A23" s="338" t="s">
        <v>15</v>
      </c>
      <c r="B23" s="407">
        <f>B28</f>
        <v>0.03</v>
      </c>
    </row>
    <row r="24" spans="1:20">
      <c r="A24" s="338" t="s">
        <v>16</v>
      </c>
      <c r="B24" s="46" t="s">
        <v>17</v>
      </c>
    </row>
    <row r="25" spans="1:20">
      <c r="A25" s="338" t="s">
        <v>18</v>
      </c>
      <c r="B25" s="46" t="s">
        <v>113</v>
      </c>
    </row>
    <row r="26" spans="1:20">
      <c r="A26" s="335" t="s">
        <v>19</v>
      </c>
    </row>
    <row r="27" spans="1:20">
      <c r="A27" s="336" t="s">
        <v>20</v>
      </c>
      <c r="B27" s="336" t="s">
        <v>21</v>
      </c>
      <c r="C27" s="336" t="s">
        <v>18</v>
      </c>
      <c r="D27" s="336" t="s">
        <v>22</v>
      </c>
      <c r="E27" s="336" t="s">
        <v>7</v>
      </c>
      <c r="F27" s="336" t="s">
        <v>13</v>
      </c>
      <c r="G27" s="336" t="s">
        <v>16</v>
      </c>
      <c r="H27" s="336" t="s">
        <v>23</v>
      </c>
      <c r="I27" s="336" t="s">
        <v>24</v>
      </c>
      <c r="J27" s="336" t="s">
        <v>25</v>
      </c>
      <c r="K27" s="336" t="s">
        <v>26</v>
      </c>
      <c r="L27" s="336" t="s">
        <v>27</v>
      </c>
      <c r="M27" s="336" t="s">
        <v>28</v>
      </c>
      <c r="N27" s="336" t="s">
        <v>11</v>
      </c>
      <c r="T27" s="407"/>
    </row>
    <row r="28" spans="1:20">
      <c r="A28" s="46" t="s">
        <v>1076</v>
      </c>
      <c r="B28" s="407">
        <v>0.03</v>
      </c>
      <c r="C28" s="46" t="s">
        <v>113</v>
      </c>
      <c r="D28" s="400" t="s">
        <v>2</v>
      </c>
      <c r="E28" s="46" t="s">
        <v>29</v>
      </c>
      <c r="F28" s="46" t="s">
        <v>14</v>
      </c>
      <c r="G28" s="46" t="s">
        <v>30</v>
      </c>
      <c r="H28" s="46">
        <v>1</v>
      </c>
      <c r="I28" s="46">
        <f>B28</f>
        <v>0.03</v>
      </c>
      <c r="J28" s="46">
        <v>7.2284161474004766E-2</v>
      </c>
      <c r="K28" s="46" t="s">
        <v>31</v>
      </c>
      <c r="L28" s="46" t="s">
        <v>31</v>
      </c>
      <c r="M28" s="46" t="s">
        <v>31</v>
      </c>
      <c r="O28" s="393" t="s">
        <v>887</v>
      </c>
      <c r="P28" s="406">
        <f>B28*100</f>
        <v>3</v>
      </c>
    </row>
    <row r="29" spans="1:20">
      <c r="A29" s="46" t="s">
        <v>1078</v>
      </c>
      <c r="B29" s="407">
        <v>0.03</v>
      </c>
      <c r="C29" s="46" t="s">
        <v>113</v>
      </c>
      <c r="D29" s="400" t="s">
        <v>2</v>
      </c>
      <c r="E29" s="46" t="s">
        <v>29</v>
      </c>
      <c r="F29" s="46" t="s">
        <v>14</v>
      </c>
      <c r="G29" s="46" t="s">
        <v>33</v>
      </c>
      <c r="H29" s="46">
        <v>1</v>
      </c>
      <c r="I29" s="46">
        <f>B29</f>
        <v>0.03</v>
      </c>
      <c r="J29" s="46">
        <v>7.2284161474004766E-2</v>
      </c>
      <c r="K29" s="46" t="s">
        <v>31</v>
      </c>
      <c r="L29" s="46" t="s">
        <v>31</v>
      </c>
      <c r="M29" s="46" t="s">
        <v>31</v>
      </c>
    </row>
    <row r="30" spans="1:20">
      <c r="A30" s="338" t="s">
        <v>75</v>
      </c>
      <c r="B30" s="342">
        <f>P30</f>
        <v>0.38</v>
      </c>
      <c r="C30" s="46" t="s">
        <v>39</v>
      </c>
      <c r="D30" s="46" t="s">
        <v>40</v>
      </c>
      <c r="E30" s="46" t="s">
        <v>29</v>
      </c>
      <c r="F30" s="32" t="s">
        <v>35</v>
      </c>
      <c r="G30" s="46" t="s">
        <v>33</v>
      </c>
      <c r="H30" s="46">
        <v>2</v>
      </c>
      <c r="I30" s="46">
        <f t="shared" ref="I30:I31" si="3">LN(B30)</f>
        <v>-0.96758402626170559</v>
      </c>
      <c r="J30" s="46">
        <v>7.2284161474004766E-2</v>
      </c>
      <c r="K30" s="46" t="s">
        <v>31</v>
      </c>
      <c r="L30" s="46" t="s">
        <v>31</v>
      </c>
      <c r="M30" s="46" t="s">
        <v>31</v>
      </c>
      <c r="O30" s="393" t="s">
        <v>216</v>
      </c>
      <c r="P30" s="406">
        <v>0.38</v>
      </c>
    </row>
    <row r="31" spans="1:20">
      <c r="A31" s="47" t="s">
        <v>547</v>
      </c>
      <c r="B31" s="46">
        <f>R31</f>
        <v>9.0000000000000011E-3</v>
      </c>
      <c r="C31" s="407" t="s">
        <v>37</v>
      </c>
      <c r="D31" s="46" t="s">
        <v>40</v>
      </c>
      <c r="E31" s="46" t="s">
        <v>29</v>
      </c>
      <c r="F31" s="46" t="s">
        <v>58</v>
      </c>
      <c r="G31" s="46" t="s">
        <v>33</v>
      </c>
      <c r="H31" s="46">
        <v>2</v>
      </c>
      <c r="I31" s="46">
        <f t="shared" si="3"/>
        <v>-4.7105307016459177</v>
      </c>
      <c r="J31" s="46">
        <v>7.2284161474004766E-2</v>
      </c>
      <c r="K31" s="46" t="s">
        <v>31</v>
      </c>
      <c r="L31" s="46" t="s">
        <v>31</v>
      </c>
      <c r="M31" s="46" t="s">
        <v>31</v>
      </c>
      <c r="O31" s="393" t="s">
        <v>575</v>
      </c>
      <c r="P31" s="406">
        <v>9</v>
      </c>
      <c r="Q31" s="46" t="s">
        <v>221</v>
      </c>
      <c r="R31" s="46">
        <f>P31*0.001</f>
        <v>9.0000000000000011E-3</v>
      </c>
    </row>
    <row r="32" spans="1:20">
      <c r="A32" s="61" t="s">
        <v>866</v>
      </c>
      <c r="B32" s="46">
        <f t="shared" ref="B32:B33" si="4">R32</f>
        <v>1.6E-2</v>
      </c>
      <c r="C32" s="46" t="s">
        <v>37</v>
      </c>
      <c r="D32" s="46" t="s">
        <v>40</v>
      </c>
      <c r="E32" s="46" t="s">
        <v>29</v>
      </c>
      <c r="F32" s="32" t="s">
        <v>35</v>
      </c>
      <c r="G32" s="46" t="s">
        <v>33</v>
      </c>
      <c r="H32" s="46">
        <v>2</v>
      </c>
      <c r="I32" s="46">
        <f>LN(B32)</f>
        <v>-4.1351665567423561</v>
      </c>
      <c r="J32" s="46">
        <v>7.2284161474004766E-2</v>
      </c>
      <c r="K32" s="46" t="s">
        <v>31</v>
      </c>
      <c r="L32" s="46" t="s">
        <v>31</v>
      </c>
      <c r="M32" s="46" t="s">
        <v>31</v>
      </c>
      <c r="O32" s="393" t="s">
        <v>575</v>
      </c>
      <c r="P32" s="406">
        <v>16</v>
      </c>
      <c r="Q32" s="46" t="s">
        <v>221</v>
      </c>
      <c r="R32" s="46">
        <f>P32*0.001</f>
        <v>1.6E-2</v>
      </c>
    </row>
    <row r="33" spans="1:20">
      <c r="A33" s="338" t="s">
        <v>792</v>
      </c>
      <c r="B33" s="46">
        <f t="shared" si="4"/>
        <v>14.5</v>
      </c>
      <c r="C33" s="46" t="s">
        <v>37</v>
      </c>
      <c r="D33" s="46" t="s">
        <v>40</v>
      </c>
      <c r="E33" s="46" t="s">
        <v>29</v>
      </c>
      <c r="F33" s="32" t="s">
        <v>741</v>
      </c>
      <c r="G33" s="46" t="s">
        <v>33</v>
      </c>
      <c r="H33" s="46">
        <v>2</v>
      </c>
      <c r="I33" s="46">
        <f t="shared" ref="I33:I34" si="5">LN(B33)</f>
        <v>2.6741486494265287</v>
      </c>
      <c r="J33" s="46">
        <v>7.2284161474004766E-2</v>
      </c>
      <c r="K33" s="46" t="s">
        <v>31</v>
      </c>
      <c r="L33" s="46" t="s">
        <v>31</v>
      </c>
      <c r="M33" s="46" t="s">
        <v>31</v>
      </c>
      <c r="O33" s="393" t="s">
        <v>221</v>
      </c>
      <c r="P33" s="406">
        <v>14.5</v>
      </c>
      <c r="Q33" s="46" t="s">
        <v>221</v>
      </c>
      <c r="R33" s="46">
        <f>P33</f>
        <v>14.5</v>
      </c>
    </row>
    <row r="34" spans="1:20">
      <c r="A34" s="47" t="s">
        <v>226</v>
      </c>
      <c r="B34" s="46">
        <f>R34</f>
        <v>1.4500000000000001E-2</v>
      </c>
      <c r="C34" s="46" t="s">
        <v>42</v>
      </c>
      <c r="D34" s="46" t="s">
        <v>40</v>
      </c>
      <c r="E34" s="46" t="s">
        <v>29</v>
      </c>
      <c r="F34" s="32" t="s">
        <v>741</v>
      </c>
      <c r="G34" s="46" t="s">
        <v>33</v>
      </c>
      <c r="H34" s="46">
        <v>2</v>
      </c>
      <c r="I34" s="46">
        <f t="shared" si="5"/>
        <v>-4.2336066295556085</v>
      </c>
      <c r="J34" s="46">
        <v>7.2284161474004766E-2</v>
      </c>
      <c r="K34" s="46" t="s">
        <v>31</v>
      </c>
      <c r="L34" s="46" t="s">
        <v>31</v>
      </c>
      <c r="M34" s="46" t="s">
        <v>31</v>
      </c>
      <c r="O34" s="410" t="s">
        <v>858</v>
      </c>
      <c r="P34" s="411">
        <v>14.5</v>
      </c>
      <c r="Q34" s="46" t="s">
        <v>219</v>
      </c>
      <c r="R34" s="46">
        <f>0.001*P34</f>
        <v>1.4500000000000001E-2</v>
      </c>
    </row>
    <row r="35" spans="1:20" s="345" customFormat="1">
      <c r="A35" s="362" t="s">
        <v>5</v>
      </c>
      <c r="B35" s="363" t="s">
        <v>1078</v>
      </c>
    </row>
    <row r="36" spans="1:20">
      <c r="A36" s="338" t="s">
        <v>7</v>
      </c>
      <c r="B36" s="46" t="s">
        <v>779</v>
      </c>
      <c r="C36" s="337"/>
    </row>
    <row r="37" spans="1:20">
      <c r="A37" s="416" t="s">
        <v>9</v>
      </c>
      <c r="B37" s="46" t="s">
        <v>1079</v>
      </c>
      <c r="C37" s="337"/>
    </row>
    <row r="38" spans="1:20" ht="15.75" customHeight="1">
      <c r="A38" s="338" t="s">
        <v>11</v>
      </c>
      <c r="B38" s="339" t="s">
        <v>789</v>
      </c>
    </row>
    <row r="39" spans="1:20">
      <c r="A39" s="338" t="s">
        <v>13</v>
      </c>
      <c r="B39" s="46" t="s">
        <v>14</v>
      </c>
    </row>
    <row r="40" spans="1:20">
      <c r="A40" s="338" t="s">
        <v>15</v>
      </c>
      <c r="B40" s="407">
        <f>B45</f>
        <v>0.03</v>
      </c>
    </row>
    <row r="41" spans="1:20">
      <c r="A41" s="338" t="s">
        <v>16</v>
      </c>
      <c r="B41" s="46" t="s">
        <v>17</v>
      </c>
    </row>
    <row r="42" spans="1:20">
      <c r="A42" s="338" t="s">
        <v>18</v>
      </c>
      <c r="B42" s="46" t="s">
        <v>113</v>
      </c>
    </row>
    <row r="43" spans="1:20">
      <c r="A43" s="335" t="s">
        <v>19</v>
      </c>
    </row>
    <row r="44" spans="1:20">
      <c r="A44" s="336" t="s">
        <v>20</v>
      </c>
      <c r="B44" s="336" t="s">
        <v>21</v>
      </c>
      <c r="C44" s="336" t="s">
        <v>18</v>
      </c>
      <c r="D44" s="336" t="s">
        <v>22</v>
      </c>
      <c r="E44" s="336" t="s">
        <v>7</v>
      </c>
      <c r="F44" s="336" t="s">
        <v>13</v>
      </c>
      <c r="G44" s="336" t="s">
        <v>16</v>
      </c>
      <c r="H44" s="336" t="s">
        <v>23</v>
      </c>
      <c r="I44" s="336" t="s">
        <v>24</v>
      </c>
      <c r="J44" s="336" t="s">
        <v>25</v>
      </c>
      <c r="K44" s="336" t="s">
        <v>26</v>
      </c>
      <c r="L44" s="336" t="s">
        <v>27</v>
      </c>
      <c r="M44" s="336" t="s">
        <v>28</v>
      </c>
      <c r="N44" s="336" t="s">
        <v>11</v>
      </c>
      <c r="T44" s="407"/>
    </row>
    <row r="45" spans="1:20">
      <c r="A45" s="46" t="s">
        <v>1078</v>
      </c>
      <c r="B45" s="407">
        <f>B29</f>
        <v>0.03</v>
      </c>
      <c r="C45" s="46" t="s">
        <v>113</v>
      </c>
      <c r="D45" s="400" t="s">
        <v>2</v>
      </c>
      <c r="E45" s="46" t="s">
        <v>29</v>
      </c>
      <c r="F45" s="46" t="s">
        <v>14</v>
      </c>
      <c r="G45" s="46" t="s">
        <v>30</v>
      </c>
      <c r="H45" s="46">
        <v>1</v>
      </c>
      <c r="I45" s="46">
        <f>B45</f>
        <v>0.03</v>
      </c>
      <c r="J45" s="46" t="s">
        <v>31</v>
      </c>
      <c r="K45" s="46" t="s">
        <v>31</v>
      </c>
      <c r="L45" s="46" t="s">
        <v>31</v>
      </c>
      <c r="M45" s="46" t="s">
        <v>31</v>
      </c>
      <c r="Q45" s="46" t="s">
        <v>1001</v>
      </c>
    </row>
    <row r="46" spans="1:20" ht="15">
      <c r="A46" s="47" t="s">
        <v>892</v>
      </c>
      <c r="B46" s="165">
        <v>0.4</v>
      </c>
      <c r="C46" s="46" t="s">
        <v>37</v>
      </c>
      <c r="D46" s="46" t="s">
        <v>40</v>
      </c>
      <c r="E46" s="46" t="s">
        <v>29</v>
      </c>
      <c r="F46" s="46" t="s">
        <v>128</v>
      </c>
      <c r="G46" s="46" t="s">
        <v>33</v>
      </c>
      <c r="H46" s="46">
        <v>1</v>
      </c>
      <c r="I46" s="46">
        <f>B46</f>
        <v>0.4</v>
      </c>
      <c r="J46" s="46" t="s">
        <v>31</v>
      </c>
      <c r="K46" s="46" t="s">
        <v>31</v>
      </c>
      <c r="L46" s="46" t="s">
        <v>31</v>
      </c>
      <c r="M46" s="46" t="s">
        <v>31</v>
      </c>
    </row>
    <row r="47" spans="1:20" ht="15">
      <c r="A47" s="47" t="s">
        <v>893</v>
      </c>
      <c r="B47" s="165">
        <v>0.4</v>
      </c>
      <c r="C47" s="46" t="s">
        <v>37</v>
      </c>
      <c r="D47" s="46" t="s">
        <v>40</v>
      </c>
      <c r="E47" s="46" t="s">
        <v>29</v>
      </c>
      <c r="F47" s="46" t="s">
        <v>58</v>
      </c>
      <c r="G47" s="46" t="s">
        <v>33</v>
      </c>
      <c r="H47" s="46">
        <v>1</v>
      </c>
      <c r="I47" s="46">
        <f>B47</f>
        <v>0.4</v>
      </c>
      <c r="J47" s="46" t="s">
        <v>31</v>
      </c>
      <c r="K47" s="46" t="s">
        <v>31</v>
      </c>
      <c r="L47" s="46" t="s">
        <v>31</v>
      </c>
      <c r="M47" s="46" t="s">
        <v>31</v>
      </c>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9164B-3BD4-4F9E-9432-DC31BE7C14BA}">
  <sheetPr>
    <tabColor theme="7"/>
  </sheetPr>
  <dimension ref="A1:Y57"/>
  <sheetViews>
    <sheetView zoomScale="70" zoomScaleNormal="70" workbookViewId="0">
      <selection activeCell="A36" sqref="A36"/>
    </sheetView>
  </sheetViews>
  <sheetFormatPr defaultRowHeight="12.75"/>
  <cols>
    <col min="1" max="1" width="74" style="46" customWidth="1"/>
    <col min="2" max="4" width="9.140625" style="46"/>
    <col min="5" max="5" width="34.28515625" style="46" customWidth="1"/>
    <col min="6" max="6" width="16.7109375" style="46" customWidth="1"/>
    <col min="7" max="7" width="9.140625" style="46"/>
    <col min="8" max="8" width="14.28515625" style="46" customWidth="1"/>
    <col min="9" max="16384" width="9.140625" style="46"/>
  </cols>
  <sheetData>
    <row r="1" spans="1:21">
      <c r="A1" s="46" t="s">
        <v>0</v>
      </c>
      <c r="B1" s="46">
        <v>14</v>
      </c>
      <c r="R1" s="62"/>
      <c r="S1" s="413"/>
    </row>
    <row r="2" spans="1:21" s="345" customFormat="1">
      <c r="A2" s="362" t="s">
        <v>5</v>
      </c>
      <c r="B2" s="363" t="s">
        <v>1060</v>
      </c>
      <c r="C2" s="363"/>
      <c r="R2" s="428"/>
      <c r="S2" s="429"/>
    </row>
    <row r="3" spans="1:21">
      <c r="A3" s="338" t="s">
        <v>7</v>
      </c>
      <c r="B3" s="46" t="s">
        <v>779</v>
      </c>
      <c r="D3" s="337"/>
      <c r="R3" s="62"/>
      <c r="S3" s="413"/>
    </row>
    <row r="4" spans="1:21">
      <c r="A4" s="416" t="s">
        <v>9</v>
      </c>
      <c r="B4" s="46" t="s">
        <v>1080</v>
      </c>
      <c r="D4" s="337"/>
    </row>
    <row r="5" spans="1:21" ht="15.75" customHeight="1">
      <c r="A5" s="338" t="s">
        <v>11</v>
      </c>
      <c r="B5" s="339" t="s">
        <v>789</v>
      </c>
      <c r="C5" s="339"/>
    </row>
    <row r="6" spans="1:21">
      <c r="A6" s="338" t="s">
        <v>13</v>
      </c>
      <c r="B6" s="46" t="s">
        <v>14</v>
      </c>
    </row>
    <row r="7" spans="1:21">
      <c r="A7" s="338" t="s">
        <v>15</v>
      </c>
      <c r="B7" s="350">
        <f>B48</f>
        <v>6.89</v>
      </c>
      <c r="C7" s="350"/>
    </row>
    <row r="8" spans="1:21">
      <c r="A8" s="338" t="s">
        <v>16</v>
      </c>
      <c r="B8" s="46" t="s">
        <v>17</v>
      </c>
    </row>
    <row r="9" spans="1:21">
      <c r="A9" s="338" t="s">
        <v>18</v>
      </c>
      <c r="B9" s="46" t="s">
        <v>37</v>
      </c>
    </row>
    <row r="10" spans="1:21">
      <c r="A10" s="335" t="s">
        <v>19</v>
      </c>
    </row>
    <row r="11" spans="1:21">
      <c r="A11" s="336" t="s">
        <v>20</v>
      </c>
      <c r="B11" s="336" t="s">
        <v>21</v>
      </c>
      <c r="C11" s="374" t="s">
        <v>198</v>
      </c>
      <c r="D11" s="336" t="s">
        <v>18</v>
      </c>
      <c r="E11" s="336" t="s">
        <v>22</v>
      </c>
      <c r="F11" s="336" t="s">
        <v>7</v>
      </c>
      <c r="G11" s="336" t="s">
        <v>13</v>
      </c>
      <c r="H11" s="336" t="s">
        <v>16</v>
      </c>
      <c r="I11" s="336" t="s">
        <v>23</v>
      </c>
      <c r="J11" s="336" t="s">
        <v>24</v>
      </c>
      <c r="K11" s="336" t="s">
        <v>25</v>
      </c>
      <c r="L11" s="336" t="s">
        <v>26</v>
      </c>
      <c r="M11" s="336" t="s">
        <v>27</v>
      </c>
      <c r="N11" s="336" t="s">
        <v>28</v>
      </c>
      <c r="O11" s="336" t="s">
        <v>11</v>
      </c>
      <c r="U11" s="407"/>
    </row>
    <row r="12" spans="1:21">
      <c r="A12" s="46" t="s">
        <v>1060</v>
      </c>
      <c r="B12" s="350">
        <f>B43</f>
        <v>6.89</v>
      </c>
      <c r="D12" s="46" t="s">
        <v>37</v>
      </c>
      <c r="E12" s="400" t="s">
        <v>2</v>
      </c>
      <c r="F12" s="46" t="s">
        <v>29</v>
      </c>
      <c r="G12" s="46" t="s">
        <v>14</v>
      </c>
      <c r="H12" s="46" t="s">
        <v>30</v>
      </c>
      <c r="I12" s="46">
        <v>1</v>
      </c>
      <c r="J12" s="46">
        <f>B12</f>
        <v>6.89</v>
      </c>
      <c r="K12" s="46" t="s">
        <v>31</v>
      </c>
      <c r="L12" s="46" t="s">
        <v>31</v>
      </c>
      <c r="M12" s="46" t="s">
        <v>31</v>
      </c>
      <c r="N12" s="46" t="s">
        <v>31</v>
      </c>
      <c r="P12" s="62"/>
      <c r="Q12" s="413"/>
    </row>
    <row r="13" spans="1:21">
      <c r="A13" s="46" t="s">
        <v>1081</v>
      </c>
      <c r="B13" s="46">
        <v>1</v>
      </c>
      <c r="D13" s="46" t="s">
        <v>18</v>
      </c>
      <c r="E13" s="400" t="s">
        <v>2</v>
      </c>
      <c r="F13" s="46" t="s">
        <v>29</v>
      </c>
      <c r="G13" s="46" t="s">
        <v>14</v>
      </c>
      <c r="H13" s="46" t="s">
        <v>33</v>
      </c>
      <c r="I13" s="46">
        <v>1</v>
      </c>
      <c r="J13" s="46">
        <f>B13</f>
        <v>1</v>
      </c>
      <c r="K13" s="46" t="s">
        <v>31</v>
      </c>
      <c r="L13" s="46" t="s">
        <v>31</v>
      </c>
      <c r="M13" s="46" t="s">
        <v>31</v>
      </c>
      <c r="N13" s="46" t="s">
        <v>31</v>
      </c>
    </row>
    <row r="14" spans="1:21">
      <c r="A14" s="338" t="s">
        <v>75</v>
      </c>
      <c r="B14" s="342">
        <f>Q14</f>
        <v>0.25</v>
      </c>
      <c r="C14" s="342"/>
      <c r="D14" s="46" t="s">
        <v>39</v>
      </c>
      <c r="E14" s="46" t="s">
        <v>40</v>
      </c>
      <c r="F14" s="46" t="s">
        <v>29</v>
      </c>
      <c r="G14" s="32" t="s">
        <v>35</v>
      </c>
      <c r="H14" s="46" t="s">
        <v>33</v>
      </c>
      <c r="I14" s="46">
        <v>2</v>
      </c>
      <c r="J14" s="46">
        <f t="shared" ref="J14:J18" si="0">LN(B14)</f>
        <v>-1.3862943611198906</v>
      </c>
      <c r="K14" s="456">
        <v>9.6046863561492793E-2</v>
      </c>
      <c r="L14" s="46" t="s">
        <v>31</v>
      </c>
      <c r="M14" s="46" t="s">
        <v>31</v>
      </c>
      <c r="N14" s="46" t="s">
        <v>31</v>
      </c>
      <c r="P14" s="393" t="s">
        <v>216</v>
      </c>
      <c r="Q14" s="406">
        <v>0.25</v>
      </c>
    </row>
    <row r="15" spans="1:21">
      <c r="A15" s="338" t="s">
        <v>75</v>
      </c>
      <c r="B15" s="342">
        <f>Q15</f>
        <v>0.5</v>
      </c>
      <c r="C15" s="342"/>
      <c r="D15" s="46" t="s">
        <v>39</v>
      </c>
      <c r="E15" s="46" t="s">
        <v>40</v>
      </c>
      <c r="F15" s="46" t="s">
        <v>29</v>
      </c>
      <c r="G15" s="32" t="s">
        <v>58</v>
      </c>
      <c r="H15" s="46" t="s">
        <v>33</v>
      </c>
      <c r="I15" s="46">
        <v>2</v>
      </c>
      <c r="J15" s="46">
        <f t="shared" si="0"/>
        <v>-0.69314718055994529</v>
      </c>
      <c r="K15" s="456">
        <v>9.6046863561492793E-2</v>
      </c>
      <c r="L15" s="46" t="s">
        <v>31</v>
      </c>
      <c r="M15" s="46" t="s">
        <v>31</v>
      </c>
      <c r="N15" s="46" t="s">
        <v>31</v>
      </c>
      <c r="P15" s="393" t="s">
        <v>216</v>
      </c>
      <c r="Q15" s="406">
        <v>0.5</v>
      </c>
    </row>
    <row r="16" spans="1:21">
      <c r="A16" s="47" t="s">
        <v>896</v>
      </c>
      <c r="B16" s="46">
        <f>S16</f>
        <v>6.5000000000000002E-2</v>
      </c>
      <c r="D16" s="46" t="s">
        <v>37</v>
      </c>
      <c r="E16" s="46" t="s">
        <v>40</v>
      </c>
      <c r="F16" s="46" t="s">
        <v>29</v>
      </c>
      <c r="G16" s="46" t="s">
        <v>35</v>
      </c>
      <c r="H16" s="46" t="s">
        <v>33</v>
      </c>
      <c r="I16" s="46">
        <v>2</v>
      </c>
      <c r="J16" s="46">
        <f t="shared" si="0"/>
        <v>-2.7333680090865</v>
      </c>
      <c r="K16" s="456">
        <v>9.6046863561492793E-2</v>
      </c>
      <c r="P16" s="393" t="s">
        <v>575</v>
      </c>
      <c r="Q16" s="406">
        <v>65</v>
      </c>
      <c r="R16" s="393" t="s">
        <v>221</v>
      </c>
      <c r="S16" s="406">
        <f>0.001*Q16</f>
        <v>6.5000000000000002E-2</v>
      </c>
    </row>
    <row r="17" spans="1:21">
      <c r="A17" s="47" t="s">
        <v>897</v>
      </c>
      <c r="B17" s="46">
        <f>Q17</f>
        <v>1.2</v>
      </c>
      <c r="D17" s="46" t="s">
        <v>37</v>
      </c>
      <c r="E17" s="46" t="s">
        <v>40</v>
      </c>
      <c r="F17" s="46" t="s">
        <v>29</v>
      </c>
      <c r="G17" s="32" t="s">
        <v>741</v>
      </c>
      <c r="H17" s="46" t="s">
        <v>33</v>
      </c>
      <c r="I17" s="46">
        <v>2</v>
      </c>
      <c r="J17" s="46">
        <f t="shared" si="0"/>
        <v>0.18232155679395459</v>
      </c>
      <c r="K17" s="456">
        <v>9.6046863561492793E-2</v>
      </c>
      <c r="P17" s="393" t="s">
        <v>221</v>
      </c>
      <c r="Q17" s="406">
        <v>1.2</v>
      </c>
    </row>
    <row r="18" spans="1:21">
      <c r="A18" s="47" t="s">
        <v>740</v>
      </c>
      <c r="B18" s="46">
        <f>S18</f>
        <v>6.5000000000000002E-2</v>
      </c>
      <c r="D18" s="46" t="s">
        <v>37</v>
      </c>
      <c r="E18" s="46" t="s">
        <v>40</v>
      </c>
      <c r="F18" s="46" t="s">
        <v>29</v>
      </c>
      <c r="G18" s="32" t="s">
        <v>741</v>
      </c>
      <c r="H18" s="46" t="s">
        <v>33</v>
      </c>
      <c r="I18" s="46">
        <v>2</v>
      </c>
      <c r="J18" s="46">
        <f t="shared" si="0"/>
        <v>-2.7333680090865</v>
      </c>
      <c r="K18" s="456">
        <v>9.6046863561492793E-2</v>
      </c>
      <c r="P18" s="393" t="s">
        <v>575</v>
      </c>
      <c r="Q18" s="406">
        <v>65</v>
      </c>
      <c r="R18" s="393" t="s">
        <v>221</v>
      </c>
      <c r="S18" s="406">
        <f>0.001*Q18</f>
        <v>6.5000000000000002E-2</v>
      </c>
    </row>
    <row r="19" spans="1:21" s="345" customFormat="1">
      <c r="A19" s="362" t="s">
        <v>5</v>
      </c>
      <c r="B19" s="363" t="str">
        <f>A29</f>
        <v>production of machined casing, mass scaled activities,non-isolating unidirectional FC DCDC converter, PEMFC-bat, Medium-Term</v>
      </c>
      <c r="C19" s="363"/>
    </row>
    <row r="20" spans="1:21">
      <c r="A20" s="338" t="s">
        <v>7</v>
      </c>
      <c r="B20" s="46" t="s">
        <v>779</v>
      </c>
      <c r="D20" s="337"/>
    </row>
    <row r="21" spans="1:21">
      <c r="A21" s="416" t="s">
        <v>9</v>
      </c>
      <c r="B21" s="46" t="s">
        <v>1082</v>
      </c>
      <c r="D21" s="337"/>
    </row>
    <row r="22" spans="1:21" ht="15.75" customHeight="1">
      <c r="A22" s="338" t="s">
        <v>11</v>
      </c>
      <c r="B22" s="339" t="s">
        <v>789</v>
      </c>
      <c r="C22" s="339"/>
    </row>
    <row r="23" spans="1:21">
      <c r="A23" s="338" t="s">
        <v>13</v>
      </c>
      <c r="B23" s="46" t="s">
        <v>14</v>
      </c>
    </row>
    <row r="24" spans="1:21">
      <c r="A24" s="338" t="s">
        <v>15</v>
      </c>
      <c r="B24" s="350">
        <v>1</v>
      </c>
      <c r="C24" s="350"/>
    </row>
    <row r="25" spans="1:21">
      <c r="A25" s="338" t="s">
        <v>16</v>
      </c>
      <c r="B25" s="46" t="s">
        <v>17</v>
      </c>
    </row>
    <row r="26" spans="1:21">
      <c r="A26" s="338" t="s">
        <v>18</v>
      </c>
      <c r="B26" s="46" t="s">
        <v>18</v>
      </c>
    </row>
    <row r="27" spans="1:21">
      <c r="A27" s="335" t="s">
        <v>19</v>
      </c>
    </row>
    <row r="28" spans="1:21">
      <c r="A28" s="336" t="s">
        <v>20</v>
      </c>
      <c r="B28" s="336" t="s">
        <v>21</v>
      </c>
      <c r="C28" s="374" t="s">
        <v>198</v>
      </c>
      <c r="D28" s="336" t="s">
        <v>18</v>
      </c>
      <c r="E28" s="336" t="s">
        <v>22</v>
      </c>
      <c r="F28" s="336" t="s">
        <v>7</v>
      </c>
      <c r="G28" s="336" t="s">
        <v>13</v>
      </c>
      <c r="H28" s="336" t="s">
        <v>16</v>
      </c>
      <c r="I28" s="336" t="s">
        <v>23</v>
      </c>
      <c r="J28" s="336" t="s">
        <v>24</v>
      </c>
      <c r="K28" s="336" t="s">
        <v>25</v>
      </c>
      <c r="L28" s="336" t="s">
        <v>26</v>
      </c>
      <c r="M28" s="336" t="s">
        <v>27</v>
      </c>
      <c r="N28" s="336" t="s">
        <v>28</v>
      </c>
      <c r="O28" s="336" t="s">
        <v>11</v>
      </c>
      <c r="U28" s="407"/>
    </row>
    <row r="29" spans="1:21">
      <c r="A29" s="46" t="s">
        <v>1081</v>
      </c>
      <c r="B29" s="46">
        <v>1</v>
      </c>
      <c r="D29" s="46" t="s">
        <v>18</v>
      </c>
      <c r="E29" s="400" t="s">
        <v>2</v>
      </c>
      <c r="F29" s="46" t="s">
        <v>29</v>
      </c>
      <c r="G29" s="46" t="s">
        <v>14</v>
      </c>
      <c r="H29" s="46" t="s">
        <v>30</v>
      </c>
      <c r="I29" s="46">
        <v>1</v>
      </c>
      <c r="J29" s="46">
        <f>B29</f>
        <v>1</v>
      </c>
      <c r="K29" s="46" t="s">
        <v>31</v>
      </c>
      <c r="L29" s="46" t="s">
        <v>31</v>
      </c>
      <c r="M29" s="46" t="s">
        <v>31</v>
      </c>
      <c r="N29" s="46" t="s">
        <v>31</v>
      </c>
    </row>
    <row r="30" spans="1:21">
      <c r="A30" s="46" t="s">
        <v>1083</v>
      </c>
      <c r="B30" s="46">
        <f>Q30</f>
        <v>6.56</v>
      </c>
      <c r="D30" s="46" t="s">
        <v>37</v>
      </c>
      <c r="E30" s="400" t="s">
        <v>2</v>
      </c>
      <c r="F30" s="46" t="s">
        <v>29</v>
      </c>
      <c r="G30" s="46" t="s">
        <v>14</v>
      </c>
      <c r="H30" s="46" t="s">
        <v>33</v>
      </c>
      <c r="I30" s="46">
        <v>2</v>
      </c>
      <c r="J30" s="46">
        <f>LN(B30)</f>
        <v>1.8809906029559975</v>
      </c>
      <c r="K30" s="46">
        <v>0.10307764064044142</v>
      </c>
      <c r="L30" s="46" t="s">
        <v>31</v>
      </c>
      <c r="M30" s="46" t="s">
        <v>31</v>
      </c>
      <c r="N30" s="46" t="s">
        <v>31</v>
      </c>
      <c r="Q30" s="454">
        <v>6.56</v>
      </c>
    </row>
    <row r="31" spans="1:21">
      <c r="A31" s="338" t="s">
        <v>75</v>
      </c>
      <c r="B31" s="342">
        <f>Q31</f>
        <v>0.39</v>
      </c>
      <c r="C31" s="342"/>
      <c r="D31" s="46" t="s">
        <v>39</v>
      </c>
      <c r="E31" s="46" t="s">
        <v>40</v>
      </c>
      <c r="F31" s="46" t="s">
        <v>29</v>
      </c>
      <c r="G31" s="32" t="s">
        <v>58</v>
      </c>
      <c r="H31" s="46" t="s">
        <v>33</v>
      </c>
      <c r="I31" s="46">
        <v>2</v>
      </c>
      <c r="J31" s="46">
        <f t="shared" ref="J31:J37" si="1">LN(B31)</f>
        <v>-0.94160853985844495</v>
      </c>
      <c r="K31" s="46">
        <v>9.6046863561492793E-2</v>
      </c>
      <c r="L31" s="46" t="s">
        <v>31</v>
      </c>
      <c r="M31" s="46" t="s">
        <v>31</v>
      </c>
      <c r="N31" s="46" t="s">
        <v>31</v>
      </c>
      <c r="P31" s="393" t="s">
        <v>216</v>
      </c>
      <c r="Q31" s="406">
        <v>0.39</v>
      </c>
    </row>
    <row r="32" spans="1:21">
      <c r="A32" s="47" t="s">
        <v>896</v>
      </c>
      <c r="B32" s="46">
        <f>S32</f>
        <v>9.1999999999999998E-2</v>
      </c>
      <c r="D32" s="46" t="s">
        <v>37</v>
      </c>
      <c r="E32" s="46" t="s">
        <v>40</v>
      </c>
      <c r="F32" s="46" t="s">
        <v>29</v>
      </c>
      <c r="G32" s="46" t="s">
        <v>35</v>
      </c>
      <c r="H32" s="46" t="s">
        <v>33</v>
      </c>
      <c r="I32" s="46">
        <v>2</v>
      </c>
      <c r="J32" s="46">
        <f t="shared" si="1"/>
        <v>-2.3859667019330968</v>
      </c>
      <c r="K32" s="46">
        <v>9.6046863561492793E-2</v>
      </c>
      <c r="L32" s="46" t="s">
        <v>31</v>
      </c>
      <c r="M32" s="46" t="s">
        <v>31</v>
      </c>
      <c r="N32" s="46" t="s">
        <v>31</v>
      </c>
      <c r="P32" s="393" t="s">
        <v>575</v>
      </c>
      <c r="Q32" s="406">
        <v>92</v>
      </c>
      <c r="R32" s="393" t="s">
        <v>221</v>
      </c>
      <c r="S32" s="406">
        <f>0.001*Q32</f>
        <v>9.1999999999999998E-2</v>
      </c>
    </row>
    <row r="33" spans="1:21">
      <c r="A33" s="47" t="s">
        <v>897</v>
      </c>
      <c r="B33" s="46">
        <f>Q33</f>
        <v>1.7</v>
      </c>
      <c r="D33" s="46" t="s">
        <v>37</v>
      </c>
      <c r="E33" s="46" t="s">
        <v>40</v>
      </c>
      <c r="F33" s="46" t="s">
        <v>29</v>
      </c>
      <c r="G33" s="32" t="s">
        <v>741</v>
      </c>
      <c r="H33" s="46" t="s">
        <v>33</v>
      </c>
      <c r="I33" s="46">
        <v>2</v>
      </c>
      <c r="J33" s="46">
        <f t="shared" si="1"/>
        <v>0.53062825106217038</v>
      </c>
      <c r="K33" s="46">
        <v>9.6046863561492793E-2</v>
      </c>
      <c r="L33" s="46" t="s">
        <v>31</v>
      </c>
      <c r="M33" s="46" t="s">
        <v>31</v>
      </c>
      <c r="N33" s="46" t="s">
        <v>31</v>
      </c>
      <c r="P33" s="393" t="s">
        <v>221</v>
      </c>
      <c r="Q33" s="406">
        <v>1.7</v>
      </c>
    </row>
    <row r="34" spans="1:21">
      <c r="A34" s="430" t="s">
        <v>247</v>
      </c>
      <c r="B34" s="46">
        <f>S35</f>
        <v>0.34800000000000003</v>
      </c>
      <c r="C34" s="62" t="s">
        <v>248</v>
      </c>
      <c r="D34" s="46" t="s">
        <v>37</v>
      </c>
      <c r="E34" s="46" t="s">
        <v>40</v>
      </c>
      <c r="F34" s="46" t="s">
        <v>29</v>
      </c>
      <c r="G34" s="32" t="s">
        <v>35</v>
      </c>
      <c r="H34" s="46" t="s">
        <v>33</v>
      </c>
      <c r="I34" s="46">
        <v>2</v>
      </c>
      <c r="J34" s="46">
        <f t="shared" si="1"/>
        <v>-1.0555527992076625</v>
      </c>
      <c r="K34" s="46">
        <v>9.6046863561492793E-2</v>
      </c>
      <c r="L34" s="46" t="s">
        <v>31</v>
      </c>
      <c r="M34" s="46" t="s">
        <v>31</v>
      </c>
      <c r="N34" s="46" t="s">
        <v>31</v>
      </c>
      <c r="P34" s="393"/>
      <c r="Q34" s="406"/>
    </row>
    <row r="35" spans="1:21">
      <c r="A35" s="62" t="s">
        <v>245</v>
      </c>
      <c r="B35" s="46">
        <f>S35</f>
        <v>0.34800000000000003</v>
      </c>
      <c r="D35" s="46" t="s">
        <v>37</v>
      </c>
      <c r="E35" s="46" t="s">
        <v>40</v>
      </c>
      <c r="F35" s="46" t="s">
        <v>29</v>
      </c>
      <c r="G35" s="46" t="s">
        <v>35</v>
      </c>
      <c r="H35" s="46" t="s">
        <v>33</v>
      </c>
      <c r="I35" s="46">
        <v>2</v>
      </c>
      <c r="J35" s="46">
        <f t="shared" si="1"/>
        <v>-1.0555527992076625</v>
      </c>
      <c r="K35" s="46">
        <v>9.6046863561492793E-2</v>
      </c>
      <c r="L35" s="46" t="s">
        <v>31</v>
      </c>
      <c r="M35" s="46" t="s">
        <v>31</v>
      </c>
      <c r="N35" s="46" t="s">
        <v>31</v>
      </c>
      <c r="P35" s="410" t="s">
        <v>575</v>
      </c>
      <c r="Q35" s="411">
        <v>348</v>
      </c>
      <c r="R35" s="393" t="s">
        <v>221</v>
      </c>
      <c r="S35" s="406">
        <f>0.001*Q35</f>
        <v>0.34800000000000003</v>
      </c>
    </row>
    <row r="36" spans="1:21">
      <c r="A36" s="47" t="s">
        <v>900</v>
      </c>
      <c r="B36" s="46">
        <f t="shared" ref="B36" si="2">S36</f>
        <v>9.1999999999999998E-2</v>
      </c>
      <c r="D36" s="46" t="s">
        <v>37</v>
      </c>
      <c r="E36" s="46" t="s">
        <v>40</v>
      </c>
      <c r="F36" s="46" t="s">
        <v>29</v>
      </c>
      <c r="G36" s="46" t="s">
        <v>58</v>
      </c>
      <c r="H36" s="46" t="s">
        <v>243</v>
      </c>
      <c r="I36" s="46">
        <v>2</v>
      </c>
      <c r="J36" s="46">
        <f t="shared" si="1"/>
        <v>-2.3859667019330968</v>
      </c>
      <c r="K36" s="46">
        <v>9.6046863561492793E-2</v>
      </c>
      <c r="L36" s="46" t="s">
        <v>31</v>
      </c>
      <c r="M36" s="46" t="s">
        <v>31</v>
      </c>
      <c r="N36" s="46" t="s">
        <v>31</v>
      </c>
      <c r="P36" s="410" t="s">
        <v>575</v>
      </c>
      <c r="Q36" s="411">
        <v>348</v>
      </c>
      <c r="R36" s="393" t="s">
        <v>221</v>
      </c>
      <c r="S36" s="406">
        <f>0.001*Q37</f>
        <v>9.1999999999999998E-2</v>
      </c>
    </row>
    <row r="37" spans="1:21">
      <c r="A37" s="47" t="s">
        <v>740</v>
      </c>
      <c r="B37" s="46">
        <f>S37</f>
        <v>9.1999999999999998E-2</v>
      </c>
      <c r="D37" s="46" t="s">
        <v>37</v>
      </c>
      <c r="E37" s="46" t="s">
        <v>40</v>
      </c>
      <c r="F37" s="46" t="s">
        <v>29</v>
      </c>
      <c r="G37" s="32" t="s">
        <v>741</v>
      </c>
      <c r="H37" s="46" t="s">
        <v>33</v>
      </c>
      <c r="I37" s="46">
        <v>2</v>
      </c>
      <c r="J37" s="46">
        <f t="shared" si="1"/>
        <v>-2.3859667019330968</v>
      </c>
      <c r="K37" s="46">
        <v>9.6046863561492793E-2</v>
      </c>
      <c r="L37" s="46" t="s">
        <v>31</v>
      </c>
      <c r="M37" s="46" t="s">
        <v>31</v>
      </c>
      <c r="N37" s="46" t="s">
        <v>31</v>
      </c>
      <c r="P37" s="410" t="s">
        <v>575</v>
      </c>
      <c r="Q37" s="411">
        <v>92</v>
      </c>
      <c r="R37" s="393" t="s">
        <v>221</v>
      </c>
      <c r="S37" s="406">
        <f>Q37*0.001</f>
        <v>9.1999999999999998E-2</v>
      </c>
    </row>
    <row r="38" spans="1:21" s="345" customFormat="1">
      <c r="A38" s="362" t="s">
        <v>5</v>
      </c>
      <c r="B38" s="363" t="s">
        <v>1083</v>
      </c>
      <c r="C38" s="363"/>
    </row>
    <row r="39" spans="1:21">
      <c r="A39" s="338" t="s">
        <v>7</v>
      </c>
      <c r="B39" s="46" t="s">
        <v>779</v>
      </c>
      <c r="D39" s="337"/>
    </row>
    <row r="40" spans="1:21">
      <c r="A40" s="416" t="s">
        <v>9</v>
      </c>
      <c r="B40" s="46" t="s">
        <v>1084</v>
      </c>
      <c r="D40" s="337"/>
    </row>
    <row r="41" spans="1:21" ht="15.75" customHeight="1">
      <c r="A41" s="338" t="s">
        <v>11</v>
      </c>
      <c r="B41" s="339" t="s">
        <v>789</v>
      </c>
      <c r="C41" s="339"/>
    </row>
    <row r="42" spans="1:21">
      <c r="A42" s="338" t="s">
        <v>13</v>
      </c>
      <c r="B42" s="46" t="s">
        <v>14</v>
      </c>
    </row>
    <row r="43" spans="1:21">
      <c r="A43" s="338" t="s">
        <v>15</v>
      </c>
      <c r="B43" s="350">
        <f>B48</f>
        <v>6.89</v>
      </c>
      <c r="C43" s="350"/>
    </row>
    <row r="44" spans="1:21">
      <c r="A44" s="338" t="s">
        <v>16</v>
      </c>
      <c r="B44" s="46" t="s">
        <v>17</v>
      </c>
    </row>
    <row r="45" spans="1:21">
      <c r="A45" s="338" t="s">
        <v>18</v>
      </c>
      <c r="B45" s="46" t="s">
        <v>37</v>
      </c>
    </row>
    <row r="46" spans="1:21">
      <c r="A46" s="335" t="s">
        <v>19</v>
      </c>
    </row>
    <row r="47" spans="1:21">
      <c r="A47" s="336" t="s">
        <v>20</v>
      </c>
      <c r="B47" s="336" t="s">
        <v>21</v>
      </c>
      <c r="C47" s="374" t="s">
        <v>198</v>
      </c>
      <c r="D47" s="336" t="s">
        <v>18</v>
      </c>
      <c r="E47" s="336" t="s">
        <v>22</v>
      </c>
      <c r="F47" s="336" t="s">
        <v>7</v>
      </c>
      <c r="G47" s="336" t="s">
        <v>13</v>
      </c>
      <c r="H47" s="336" t="s">
        <v>16</v>
      </c>
      <c r="I47" s="336" t="s">
        <v>23</v>
      </c>
      <c r="J47" s="336" t="s">
        <v>24</v>
      </c>
      <c r="K47" s="336" t="s">
        <v>25</v>
      </c>
      <c r="L47" s="336" t="s">
        <v>26</v>
      </c>
      <c r="M47" s="336" t="s">
        <v>27</v>
      </c>
      <c r="N47" s="336" t="s">
        <v>28</v>
      </c>
      <c r="O47" s="336" t="s">
        <v>11</v>
      </c>
      <c r="U47" s="407"/>
    </row>
    <row r="48" spans="1:21">
      <c r="A48" s="46" t="s">
        <v>1083</v>
      </c>
      <c r="B48" s="46">
        <f>Q48</f>
        <v>6.89</v>
      </c>
      <c r="D48" s="46" t="s">
        <v>37</v>
      </c>
      <c r="E48" s="400" t="s">
        <v>2</v>
      </c>
      <c r="F48" s="46" t="s">
        <v>29</v>
      </c>
      <c r="G48" s="46" t="s">
        <v>14</v>
      </c>
      <c r="H48" s="46" t="s">
        <v>30</v>
      </c>
      <c r="I48" s="46">
        <v>2</v>
      </c>
      <c r="J48" s="46">
        <f>LN(B48)</f>
        <v>1.9300710850255671</v>
      </c>
      <c r="K48" s="46">
        <v>0.10307764064044142</v>
      </c>
      <c r="L48" s="46" t="s">
        <v>31</v>
      </c>
      <c r="M48" s="46" t="s">
        <v>31</v>
      </c>
      <c r="N48" s="46" t="s">
        <v>31</v>
      </c>
      <c r="Q48" s="457">
        <v>6.89</v>
      </c>
    </row>
    <row r="49" spans="1:25">
      <c r="A49" s="47" t="s">
        <v>900</v>
      </c>
      <c r="B49" s="46">
        <f>Q49</f>
        <v>7.3</v>
      </c>
      <c r="D49" s="46" t="s">
        <v>37</v>
      </c>
      <c r="E49" s="46" t="s">
        <v>40</v>
      </c>
      <c r="F49" s="46" t="s">
        <v>29</v>
      </c>
      <c r="G49" s="46" t="s">
        <v>58</v>
      </c>
      <c r="H49" s="46" t="s">
        <v>33</v>
      </c>
      <c r="I49" s="46">
        <v>2</v>
      </c>
      <c r="J49" s="46">
        <f t="shared" ref="J49:J57" si="3">LN(B49)</f>
        <v>1.9878743481543455</v>
      </c>
      <c r="K49" s="46">
        <v>4.9999999999998969E-3</v>
      </c>
      <c r="L49" s="46" t="s">
        <v>31</v>
      </c>
      <c r="M49" s="46" t="s">
        <v>31</v>
      </c>
      <c r="N49" s="46" t="s">
        <v>31</v>
      </c>
      <c r="P49" s="393" t="s">
        <v>221</v>
      </c>
      <c r="Q49" s="406">
        <v>7.3</v>
      </c>
    </row>
    <row r="50" spans="1:25">
      <c r="A50" s="26" t="s">
        <v>77</v>
      </c>
      <c r="B50" s="46">
        <f>S50</f>
        <v>1.9425587467362928</v>
      </c>
      <c r="D50" s="46" t="s">
        <v>42</v>
      </c>
      <c r="E50" s="46" t="s">
        <v>40</v>
      </c>
      <c r="F50" s="46" t="s">
        <v>29</v>
      </c>
      <c r="G50" s="46" t="s">
        <v>217</v>
      </c>
      <c r="H50" s="46" t="s">
        <v>33</v>
      </c>
      <c r="I50" s="46">
        <v>2</v>
      </c>
      <c r="J50" s="46">
        <f t="shared" si="3"/>
        <v>0.66400604565244603</v>
      </c>
      <c r="K50" s="46">
        <v>4.9999999999998969E-3</v>
      </c>
      <c r="L50" s="46" t="s">
        <v>31</v>
      </c>
      <c r="M50" s="46" t="s">
        <v>31</v>
      </c>
      <c r="N50" s="46" t="s">
        <v>31</v>
      </c>
      <c r="P50" s="393" t="s">
        <v>218</v>
      </c>
      <c r="Q50" s="406">
        <v>74.400000000000006</v>
      </c>
      <c r="R50" s="46" t="s">
        <v>219</v>
      </c>
      <c r="S50" s="46">
        <f>Q50/38.3</f>
        <v>1.9425587467362928</v>
      </c>
      <c r="T50" s="458"/>
      <c r="U50" s="459"/>
      <c r="V50" s="459"/>
      <c r="W50" s="459"/>
      <c r="X50" s="459"/>
      <c r="Y50" s="459"/>
    </row>
    <row r="51" spans="1:25">
      <c r="A51" s="338" t="s">
        <v>75</v>
      </c>
      <c r="B51" s="342">
        <f>Q51</f>
        <v>17.899999999999999</v>
      </c>
      <c r="C51" s="342"/>
      <c r="D51" s="46" t="s">
        <v>39</v>
      </c>
      <c r="E51" s="46" t="s">
        <v>40</v>
      </c>
      <c r="F51" s="46" t="s">
        <v>29</v>
      </c>
      <c r="G51" s="32" t="s">
        <v>58</v>
      </c>
      <c r="H51" s="46" t="s">
        <v>33</v>
      </c>
      <c r="I51" s="46">
        <v>2</v>
      </c>
      <c r="J51" s="46">
        <f t="shared" si="3"/>
        <v>2.884800712846709</v>
      </c>
      <c r="K51" s="46">
        <v>4.9999999999998969E-3</v>
      </c>
      <c r="L51" s="46" t="s">
        <v>31</v>
      </c>
      <c r="M51" s="46" t="s">
        <v>31</v>
      </c>
      <c r="N51" s="46" t="s">
        <v>31</v>
      </c>
      <c r="P51" s="393" t="s">
        <v>216</v>
      </c>
      <c r="Q51" s="406">
        <v>17.899999999999999</v>
      </c>
    </row>
    <row r="52" spans="1:25">
      <c r="A52" s="47" t="s">
        <v>902</v>
      </c>
      <c r="B52" s="46">
        <f>S52</f>
        <v>0.14000000000000001</v>
      </c>
      <c r="D52" s="46" t="s">
        <v>37</v>
      </c>
      <c r="E52" s="46" t="s">
        <v>40</v>
      </c>
      <c r="F52" s="46" t="s">
        <v>29</v>
      </c>
      <c r="G52" s="46" t="s">
        <v>35</v>
      </c>
      <c r="H52" s="46" t="s">
        <v>33</v>
      </c>
      <c r="I52" s="46">
        <v>2</v>
      </c>
      <c r="J52" s="46">
        <f t="shared" si="3"/>
        <v>-1.9661128563728327</v>
      </c>
      <c r="K52" s="46">
        <v>0.10049875621120885</v>
      </c>
      <c r="L52" s="46" t="s">
        <v>31</v>
      </c>
      <c r="M52" s="46" t="s">
        <v>31</v>
      </c>
      <c r="N52" s="46" t="s">
        <v>31</v>
      </c>
      <c r="P52" s="393" t="s">
        <v>575</v>
      </c>
      <c r="Q52" s="406">
        <v>140</v>
      </c>
      <c r="R52" s="393" t="s">
        <v>221</v>
      </c>
      <c r="S52" s="406">
        <f t="shared" ref="S52:S54" si="4">0.001*Q52</f>
        <v>0.14000000000000001</v>
      </c>
    </row>
    <row r="53" spans="1:25">
      <c r="A53" s="47" t="s">
        <v>903</v>
      </c>
      <c r="B53" s="46">
        <f>S53</f>
        <v>2.8E-3</v>
      </c>
      <c r="D53" s="46" t="s">
        <v>37</v>
      </c>
      <c r="E53" s="46" t="s">
        <v>43</v>
      </c>
      <c r="F53" s="46" t="s">
        <v>44</v>
      </c>
      <c r="G53" s="46" t="s">
        <v>29</v>
      </c>
      <c r="H53" s="46" t="s">
        <v>45</v>
      </c>
      <c r="I53" s="46">
        <v>2</v>
      </c>
      <c r="J53" s="46">
        <f t="shared" si="3"/>
        <v>-5.8781358618009785</v>
      </c>
      <c r="K53" s="46">
        <v>4.9999999999998969E-3</v>
      </c>
      <c r="L53" s="46" t="s">
        <v>31</v>
      </c>
      <c r="M53" s="46" t="s">
        <v>31</v>
      </c>
      <c r="N53" s="46" t="s">
        <v>31</v>
      </c>
      <c r="P53" s="408" t="s">
        <v>575</v>
      </c>
      <c r="Q53" s="431">
        <v>2.8</v>
      </c>
      <c r="R53" s="393" t="s">
        <v>221</v>
      </c>
      <c r="S53" s="406">
        <f t="shared" si="4"/>
        <v>2.8E-3</v>
      </c>
    </row>
    <row r="54" spans="1:25">
      <c r="A54" s="338" t="s">
        <v>760</v>
      </c>
      <c r="B54" s="46">
        <f>S54</f>
        <v>6.9000000000000008E-3</v>
      </c>
      <c r="D54" s="46" t="s">
        <v>37</v>
      </c>
      <c r="E54" s="46" t="s">
        <v>43</v>
      </c>
      <c r="F54" s="46" t="s">
        <v>44</v>
      </c>
      <c r="G54" s="32" t="s">
        <v>29</v>
      </c>
      <c r="H54" s="46" t="s">
        <v>45</v>
      </c>
      <c r="I54" s="46">
        <v>2</v>
      </c>
      <c r="J54" s="46">
        <f t="shared" si="3"/>
        <v>-4.976233867378923</v>
      </c>
      <c r="K54" s="46">
        <v>8.9582364335844641E-2</v>
      </c>
      <c r="L54" s="46" t="s">
        <v>31</v>
      </c>
      <c r="M54" s="46" t="s">
        <v>31</v>
      </c>
      <c r="N54" s="46" t="s">
        <v>31</v>
      </c>
      <c r="P54" s="408" t="s">
        <v>575</v>
      </c>
      <c r="Q54" s="431">
        <v>6.9</v>
      </c>
      <c r="R54" s="393" t="s">
        <v>221</v>
      </c>
      <c r="S54" s="406">
        <f t="shared" si="4"/>
        <v>6.9000000000000008E-3</v>
      </c>
    </row>
    <row r="55" spans="1:25">
      <c r="A55" s="430" t="s">
        <v>247</v>
      </c>
      <c r="B55" s="46">
        <f>B56</f>
        <v>0.41</v>
      </c>
      <c r="C55" s="62" t="s">
        <v>248</v>
      </c>
      <c r="D55" s="46" t="s">
        <v>37</v>
      </c>
      <c r="E55" s="46" t="s">
        <v>40</v>
      </c>
      <c r="F55" s="46" t="s">
        <v>29</v>
      </c>
      <c r="G55" s="32" t="s">
        <v>35</v>
      </c>
      <c r="H55" s="46" t="s">
        <v>33</v>
      </c>
      <c r="I55" s="46">
        <v>2</v>
      </c>
      <c r="J55" s="46">
        <f t="shared" si="3"/>
        <v>-0.89159811928378363</v>
      </c>
      <c r="K55" s="46">
        <v>9.6046863561492793E-2</v>
      </c>
      <c r="L55" s="46" t="s">
        <v>31</v>
      </c>
      <c r="M55" s="46" t="s">
        <v>31</v>
      </c>
      <c r="N55" s="46" t="s">
        <v>31</v>
      </c>
      <c r="P55" s="408"/>
      <c r="Q55" s="431"/>
      <c r="R55" s="424"/>
      <c r="S55" s="425"/>
    </row>
    <row r="56" spans="1:25">
      <c r="A56" s="62" t="s">
        <v>245</v>
      </c>
      <c r="B56" s="46">
        <f>Q56</f>
        <v>0.41</v>
      </c>
      <c r="D56" s="46" t="s">
        <v>37</v>
      </c>
      <c r="E56" s="46" t="s">
        <v>40</v>
      </c>
      <c r="F56" s="46" t="s">
        <v>29</v>
      </c>
      <c r="G56" s="46" t="s">
        <v>35</v>
      </c>
      <c r="H56" s="46" t="s">
        <v>33</v>
      </c>
      <c r="I56" s="46">
        <v>2</v>
      </c>
      <c r="J56" s="46">
        <f t="shared" si="3"/>
        <v>-0.89159811928378363</v>
      </c>
      <c r="K56" s="46">
        <v>4.9999999999998969E-3</v>
      </c>
      <c r="L56" s="46" t="s">
        <v>31</v>
      </c>
      <c r="M56" s="46" t="s">
        <v>31</v>
      </c>
      <c r="N56" s="46" t="s">
        <v>31</v>
      </c>
      <c r="P56" s="410" t="s">
        <v>221</v>
      </c>
      <c r="Q56" s="411">
        <v>0.41</v>
      </c>
    </row>
    <row r="57" spans="1:25">
      <c r="A57" s="47" t="s">
        <v>900</v>
      </c>
      <c r="B57" s="46">
        <f>Q56</f>
        <v>0.41</v>
      </c>
      <c r="D57" s="46" t="s">
        <v>37</v>
      </c>
      <c r="E57" s="46" t="s">
        <v>40</v>
      </c>
      <c r="F57" s="46" t="s">
        <v>29</v>
      </c>
      <c r="G57" s="46" t="s">
        <v>58</v>
      </c>
      <c r="H57" s="46" t="s">
        <v>243</v>
      </c>
      <c r="I57" s="46">
        <v>2</v>
      </c>
      <c r="J57" s="46">
        <f t="shared" si="3"/>
        <v>-0.89159811928378363</v>
      </c>
      <c r="K57" s="46">
        <v>4.9999999999998969E-3</v>
      </c>
      <c r="L57" s="46" t="s">
        <v>31</v>
      </c>
      <c r="M57" s="46" t="s">
        <v>31</v>
      </c>
      <c r="N57" s="46" t="s">
        <v>31</v>
      </c>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AB32-F879-46F4-8935-673412FB5F43}">
  <sheetPr>
    <tabColor theme="7"/>
  </sheetPr>
  <dimension ref="A1:U363"/>
  <sheetViews>
    <sheetView zoomScale="70" zoomScaleNormal="70" workbookViewId="0">
      <selection activeCell="I38" sqref="I38"/>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62" t="s">
        <v>5</v>
      </c>
      <c r="B2" s="363" t="s">
        <v>1056</v>
      </c>
      <c r="C2" s="364"/>
      <c r="D2" s="345"/>
      <c r="E2" s="345"/>
      <c r="F2" s="345"/>
      <c r="G2" s="345"/>
      <c r="H2" s="345"/>
      <c r="I2" s="345"/>
      <c r="J2" s="345"/>
      <c r="K2" s="345"/>
      <c r="L2" s="345"/>
      <c r="M2" s="345"/>
      <c r="N2" s="46"/>
      <c r="O2" s="46"/>
      <c r="P2" s="46"/>
      <c r="Q2" s="46"/>
      <c r="R2" s="46"/>
      <c r="S2" s="46"/>
      <c r="T2" s="46"/>
      <c r="U2" s="46"/>
    </row>
    <row r="3" spans="1:21">
      <c r="A3" s="338" t="s">
        <v>7</v>
      </c>
      <c r="B3" s="46" t="s">
        <v>779</v>
      </c>
      <c r="C3" s="337"/>
      <c r="D3" s="46"/>
      <c r="E3" s="46"/>
      <c r="F3" s="46"/>
      <c r="G3" s="46"/>
      <c r="H3" s="46"/>
      <c r="I3" s="46"/>
      <c r="J3" s="46"/>
      <c r="K3" s="46"/>
      <c r="L3" s="46"/>
      <c r="M3" s="46"/>
      <c r="N3" s="46"/>
      <c r="O3" s="46"/>
      <c r="P3" s="46"/>
      <c r="Q3" s="46"/>
      <c r="R3" s="46"/>
      <c r="S3" s="46"/>
      <c r="T3" s="46"/>
      <c r="U3" s="46"/>
    </row>
    <row r="4" spans="1:21">
      <c r="A4" s="338" t="s">
        <v>9</v>
      </c>
      <c r="B4" s="46" t="s">
        <v>1085</v>
      </c>
      <c r="C4" s="337"/>
      <c r="D4" s="46"/>
      <c r="E4" s="46"/>
      <c r="F4" s="46"/>
      <c r="G4" s="46"/>
      <c r="H4" s="46"/>
      <c r="I4" s="46"/>
      <c r="J4" s="46"/>
      <c r="K4" s="46"/>
      <c r="L4" s="46"/>
      <c r="M4" s="46"/>
      <c r="N4" s="46"/>
      <c r="O4" s="46"/>
      <c r="P4" s="46"/>
      <c r="Q4" s="46"/>
      <c r="R4" s="46"/>
      <c r="S4" s="46"/>
      <c r="T4" s="46"/>
      <c r="U4" s="46"/>
    </row>
    <row r="5" spans="1:21" ht="16.5" customHeight="1">
      <c r="A5" s="338" t="s">
        <v>11</v>
      </c>
      <c r="B5" s="339" t="s">
        <v>789</v>
      </c>
      <c r="C5" s="46"/>
      <c r="D5" s="46"/>
      <c r="E5" s="46"/>
      <c r="F5" s="46"/>
      <c r="G5" s="46"/>
      <c r="H5" s="46"/>
      <c r="I5" s="46"/>
      <c r="J5" s="46"/>
      <c r="K5" s="46"/>
      <c r="L5" s="46"/>
      <c r="M5" s="46"/>
      <c r="N5" s="46"/>
      <c r="O5" s="46"/>
      <c r="P5" s="46"/>
      <c r="Q5" s="46"/>
      <c r="R5" s="46"/>
      <c r="S5" s="46"/>
      <c r="T5" s="46"/>
      <c r="U5" s="46"/>
    </row>
    <row r="6" spans="1:21">
      <c r="A6" s="338" t="s">
        <v>13</v>
      </c>
      <c r="B6" s="46" t="s">
        <v>14</v>
      </c>
      <c r="C6" s="46"/>
      <c r="D6" s="46"/>
      <c r="E6" s="46"/>
      <c r="F6" s="46"/>
      <c r="G6" s="46"/>
      <c r="H6" s="46"/>
      <c r="I6" s="46"/>
      <c r="J6" s="46"/>
      <c r="K6" s="46"/>
      <c r="L6" s="46"/>
      <c r="M6" s="46"/>
      <c r="N6" s="46"/>
      <c r="O6" s="46"/>
      <c r="P6" s="46"/>
      <c r="Q6" s="46"/>
      <c r="R6" s="46"/>
      <c r="S6" s="46"/>
      <c r="T6" s="46"/>
      <c r="U6" s="46"/>
    </row>
    <row r="7" spans="1:21">
      <c r="A7" s="338" t="s">
        <v>15</v>
      </c>
      <c r="B7" s="46">
        <f>B12</f>
        <v>2.5</v>
      </c>
      <c r="C7" s="46"/>
      <c r="D7" s="46"/>
      <c r="E7" s="46"/>
      <c r="F7" s="46"/>
      <c r="G7" s="46"/>
      <c r="H7" s="46"/>
      <c r="I7" s="46"/>
      <c r="J7" s="46"/>
      <c r="K7" s="46"/>
      <c r="L7" s="46"/>
      <c r="M7" s="46"/>
      <c r="N7" s="46"/>
      <c r="O7" s="46" t="s">
        <v>1008</v>
      </c>
      <c r="P7" s="46"/>
      <c r="Q7" s="46"/>
      <c r="R7" s="46"/>
      <c r="S7" s="46"/>
      <c r="T7" s="46"/>
      <c r="U7" s="46"/>
    </row>
    <row r="8" spans="1:21">
      <c r="A8" s="338" t="s">
        <v>16</v>
      </c>
      <c r="B8" s="46" t="s">
        <v>17</v>
      </c>
      <c r="C8" s="46"/>
      <c r="D8" s="46"/>
      <c r="E8" s="46"/>
      <c r="F8" s="46"/>
      <c r="G8" s="46"/>
      <c r="H8" s="46"/>
      <c r="I8" s="46"/>
      <c r="J8" s="46"/>
      <c r="K8" s="46"/>
      <c r="L8" s="46"/>
      <c r="M8" s="46"/>
      <c r="N8" s="46"/>
      <c r="O8" s="46"/>
      <c r="P8" s="46"/>
      <c r="Q8" s="46"/>
      <c r="R8" s="46"/>
      <c r="S8" s="46"/>
      <c r="T8" s="46"/>
      <c r="U8" s="46"/>
    </row>
    <row r="9" spans="1:21">
      <c r="A9" s="338" t="s">
        <v>18</v>
      </c>
      <c r="B9" s="46" t="s">
        <v>37</v>
      </c>
      <c r="C9" s="46"/>
      <c r="D9" s="46"/>
      <c r="E9" s="46"/>
      <c r="F9" s="46"/>
      <c r="G9" s="46"/>
      <c r="H9" s="46"/>
      <c r="I9" s="46"/>
      <c r="J9" s="46"/>
      <c r="K9" s="46"/>
      <c r="L9" s="46"/>
      <c r="M9" s="46"/>
      <c r="N9" s="46"/>
      <c r="O9" s="46"/>
      <c r="P9" s="46"/>
      <c r="Q9" s="46"/>
      <c r="R9" s="46"/>
      <c r="S9" s="46"/>
      <c r="T9" s="46"/>
      <c r="U9" s="46"/>
    </row>
    <row r="10" spans="1:21">
      <c r="A10" s="335" t="s">
        <v>19</v>
      </c>
      <c r="B10" s="46"/>
      <c r="C10" s="46"/>
      <c r="D10" s="46"/>
      <c r="E10" s="46"/>
      <c r="F10" s="46"/>
      <c r="G10" s="46"/>
      <c r="H10" s="46"/>
      <c r="I10" s="46"/>
      <c r="J10" s="46"/>
      <c r="K10" s="46"/>
      <c r="L10" s="46"/>
      <c r="M10" s="46"/>
      <c r="N10" s="46"/>
      <c r="O10" s="46"/>
      <c r="P10" s="46"/>
      <c r="Q10" s="46"/>
      <c r="R10" s="46"/>
      <c r="S10" s="46"/>
      <c r="T10" s="46"/>
      <c r="U10" s="46"/>
    </row>
    <row r="11" spans="1:21">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c r="O11" s="46"/>
      <c r="P11" s="46"/>
      <c r="Q11" s="46"/>
      <c r="R11" s="46"/>
      <c r="S11" s="46"/>
      <c r="T11" s="46"/>
      <c r="U11" s="46"/>
    </row>
    <row r="12" spans="1:21">
      <c r="A12" s="338" t="s">
        <v>1056</v>
      </c>
      <c r="B12" s="46">
        <f>'2C. N-ISOLATING DCDC CONVERTER'!B16</f>
        <v>2.5</v>
      </c>
      <c r="C12" s="46" t="s">
        <v>37</v>
      </c>
      <c r="D12" s="400" t="s">
        <v>2</v>
      </c>
      <c r="E12" s="46" t="s">
        <v>29</v>
      </c>
      <c r="F12" s="32" t="s">
        <v>14</v>
      </c>
      <c r="G12" s="46" t="s">
        <v>30</v>
      </c>
      <c r="H12" s="46">
        <v>1</v>
      </c>
      <c r="I12" s="46">
        <v>2.8722813232690055E-2</v>
      </c>
      <c r="J12" s="46" t="s">
        <v>31</v>
      </c>
      <c r="K12" s="46" t="s">
        <v>31</v>
      </c>
      <c r="L12" s="46" t="s">
        <v>31</v>
      </c>
      <c r="M12" s="46" t="s">
        <v>31</v>
      </c>
      <c r="N12" s="46"/>
      <c r="O12" s="46"/>
      <c r="P12" s="46"/>
      <c r="Q12" s="46"/>
      <c r="R12" s="46"/>
      <c r="S12" s="46"/>
      <c r="T12" s="46"/>
      <c r="U12" s="46"/>
    </row>
    <row r="13" spans="1:21">
      <c r="A13" s="46" t="s">
        <v>1086</v>
      </c>
      <c r="B13" s="46">
        <v>1</v>
      </c>
      <c r="C13" s="46" t="s">
        <v>18</v>
      </c>
      <c r="D13" s="400" t="s">
        <v>2</v>
      </c>
      <c r="E13" s="46" t="s">
        <v>29</v>
      </c>
      <c r="F13" s="32" t="s">
        <v>14</v>
      </c>
      <c r="G13" s="46" t="s">
        <v>33</v>
      </c>
      <c r="H13" s="46">
        <v>1</v>
      </c>
      <c r="I13" s="46">
        <f>B13</f>
        <v>1</v>
      </c>
      <c r="J13" s="46" t="s">
        <v>31</v>
      </c>
      <c r="K13" s="46" t="s">
        <v>31</v>
      </c>
      <c r="L13" s="46" t="s">
        <v>31</v>
      </c>
      <c r="M13" s="46" t="s">
        <v>31</v>
      </c>
      <c r="N13" s="46"/>
      <c r="O13" s="46"/>
      <c r="P13" s="46"/>
      <c r="Q13" s="46"/>
      <c r="R13" s="46"/>
      <c r="S13" s="46"/>
      <c r="T13" s="46"/>
      <c r="U13" s="46"/>
    </row>
    <row r="14" spans="1:21">
      <c r="A14" s="46" t="s">
        <v>1087</v>
      </c>
      <c r="B14" s="46">
        <v>1</v>
      </c>
      <c r="C14" s="46" t="s">
        <v>18</v>
      </c>
      <c r="D14" s="400" t="s">
        <v>2</v>
      </c>
      <c r="E14" s="46" t="s">
        <v>29</v>
      </c>
      <c r="F14" s="32" t="s">
        <v>14</v>
      </c>
      <c r="G14" s="46" t="s">
        <v>33</v>
      </c>
      <c r="H14" s="46">
        <v>1</v>
      </c>
      <c r="I14" s="46">
        <f>B14</f>
        <v>1</v>
      </c>
      <c r="J14" s="46" t="s">
        <v>31</v>
      </c>
      <c r="K14" s="46" t="s">
        <v>31</v>
      </c>
      <c r="L14" s="46" t="s">
        <v>31</v>
      </c>
      <c r="M14" s="46" t="s">
        <v>31</v>
      </c>
      <c r="N14" s="46"/>
      <c r="O14" s="46"/>
      <c r="P14" s="46"/>
      <c r="Q14" s="46"/>
      <c r="R14" s="46"/>
      <c r="S14" s="46"/>
      <c r="T14" s="46"/>
      <c r="U14" s="46"/>
    </row>
    <row r="15" spans="1:21">
      <c r="A15" s="47" t="s">
        <v>601</v>
      </c>
      <c r="B15" s="384">
        <f>R15</f>
        <v>5.6999999999999998E-4</v>
      </c>
      <c r="C15" s="46" t="s">
        <v>37</v>
      </c>
      <c r="D15" s="46" t="s">
        <v>40</v>
      </c>
      <c r="E15" s="46" t="s">
        <v>29</v>
      </c>
      <c r="F15" s="32" t="s">
        <v>35</v>
      </c>
      <c r="G15" s="46" t="s">
        <v>33</v>
      </c>
      <c r="H15" s="46">
        <v>2</v>
      </c>
      <c r="I15" s="46">
        <f>LN(B15)</f>
        <v>-7.4698741971356784</v>
      </c>
      <c r="J15" s="46">
        <v>2.8722813232690055E-2</v>
      </c>
      <c r="K15" s="46" t="s">
        <v>31</v>
      </c>
      <c r="L15" s="46" t="s">
        <v>31</v>
      </c>
      <c r="M15" s="46" t="s">
        <v>31</v>
      </c>
      <c r="N15" s="46"/>
      <c r="O15" s="375" t="s">
        <v>575</v>
      </c>
      <c r="P15" s="120">
        <v>0.56999999999999995</v>
      </c>
      <c r="Q15" s="46" t="s">
        <v>221</v>
      </c>
      <c r="R15" s="384">
        <f>P15*0.001</f>
        <v>5.6999999999999998E-4</v>
      </c>
      <c r="S15" s="46"/>
      <c r="T15" s="46"/>
      <c r="U15" s="46"/>
    </row>
    <row r="16" spans="1:21">
      <c r="A16" s="362" t="s">
        <v>5</v>
      </c>
      <c r="B16" s="363" t="s">
        <v>1087</v>
      </c>
      <c r="C16" s="364"/>
      <c r="D16" s="345"/>
      <c r="E16" s="345"/>
      <c r="F16" s="345"/>
      <c r="G16" s="345"/>
      <c r="H16" s="345"/>
      <c r="I16" s="345"/>
      <c r="J16" s="345"/>
      <c r="K16" s="345"/>
      <c r="L16" s="345"/>
      <c r="M16" s="345"/>
      <c r="N16" s="46"/>
      <c r="O16" s="46"/>
      <c r="P16" s="46"/>
      <c r="Q16" s="46"/>
      <c r="R16" s="46"/>
      <c r="S16" s="46"/>
      <c r="T16" s="46"/>
      <c r="U16" s="46"/>
    </row>
    <row r="17" spans="1:21">
      <c r="A17" s="338" t="s">
        <v>7</v>
      </c>
      <c r="B17" s="46" t="s">
        <v>779</v>
      </c>
      <c r="C17" s="337"/>
      <c r="D17" s="46"/>
      <c r="E17" s="46"/>
      <c r="F17" s="46"/>
      <c r="G17" s="46"/>
      <c r="H17" s="46"/>
      <c r="I17" s="46"/>
      <c r="J17" s="46"/>
      <c r="K17" s="46"/>
      <c r="L17" s="46"/>
      <c r="M17" s="46"/>
      <c r="N17" s="46"/>
      <c r="O17" s="46"/>
      <c r="P17" s="46"/>
      <c r="Q17" s="46"/>
      <c r="R17" s="46"/>
      <c r="S17" s="46"/>
      <c r="T17" s="46"/>
      <c r="U17" s="46"/>
    </row>
    <row r="18" spans="1:21">
      <c r="A18" s="338" t="s">
        <v>9</v>
      </c>
      <c r="B18" s="46" t="s">
        <v>1088</v>
      </c>
      <c r="C18" s="337"/>
      <c r="D18" s="46"/>
      <c r="E18" s="46"/>
      <c r="F18" s="46"/>
      <c r="G18" s="46"/>
      <c r="H18" s="46"/>
      <c r="I18" s="46"/>
      <c r="J18" s="46"/>
      <c r="K18" s="46"/>
      <c r="L18" s="46"/>
      <c r="M18" s="46"/>
      <c r="N18" s="46"/>
      <c r="O18" s="46"/>
      <c r="P18" s="46"/>
      <c r="Q18" s="46"/>
      <c r="R18" s="46"/>
      <c r="S18" s="46"/>
      <c r="T18" s="46"/>
      <c r="U18" s="46"/>
    </row>
    <row r="19" spans="1:21" ht="16.5" customHeight="1">
      <c r="A19" s="338" t="s">
        <v>11</v>
      </c>
      <c r="B19" s="339" t="s">
        <v>789</v>
      </c>
      <c r="C19" s="46"/>
      <c r="D19" s="46"/>
      <c r="E19" s="46"/>
      <c r="F19" s="46"/>
      <c r="G19" s="46"/>
      <c r="H19" s="46"/>
      <c r="I19" s="46"/>
      <c r="J19" s="46"/>
      <c r="K19" s="46"/>
      <c r="L19" s="46"/>
      <c r="M19" s="46"/>
      <c r="N19" s="46"/>
      <c r="O19" s="46"/>
      <c r="P19" s="46"/>
      <c r="Q19" s="46"/>
      <c r="R19" s="46"/>
      <c r="S19" s="46"/>
      <c r="T19" s="46"/>
      <c r="U19" s="46"/>
    </row>
    <row r="20" spans="1:21">
      <c r="A20" s="338" t="s">
        <v>13</v>
      </c>
      <c r="B20" s="46" t="s">
        <v>14</v>
      </c>
      <c r="C20" s="46"/>
      <c r="D20" s="46"/>
      <c r="E20" s="46"/>
      <c r="F20" s="46"/>
      <c r="G20" s="46"/>
      <c r="H20" s="46"/>
      <c r="I20" s="46"/>
      <c r="J20" s="46"/>
      <c r="K20" s="46"/>
      <c r="L20" s="46"/>
      <c r="M20" s="46"/>
      <c r="N20" s="46"/>
      <c r="O20" s="46"/>
      <c r="P20" s="46"/>
      <c r="Q20" s="46"/>
      <c r="R20" s="46"/>
      <c r="S20" s="46"/>
      <c r="T20" s="46"/>
      <c r="U20" s="46"/>
    </row>
    <row r="21" spans="1:21">
      <c r="A21" s="338" t="s">
        <v>15</v>
      </c>
      <c r="B21" s="46">
        <v>1</v>
      </c>
      <c r="C21" s="46"/>
      <c r="D21" s="46"/>
      <c r="E21" s="46"/>
      <c r="F21" s="46"/>
      <c r="G21" s="46"/>
      <c r="H21" s="46"/>
      <c r="I21" s="46"/>
      <c r="J21" s="46"/>
      <c r="K21" s="46"/>
      <c r="L21" s="46"/>
      <c r="M21" s="46"/>
      <c r="N21" s="46"/>
      <c r="O21" s="46"/>
      <c r="P21" s="46"/>
      <c r="Q21" s="46"/>
      <c r="R21" s="46"/>
      <c r="S21" s="46"/>
      <c r="T21" s="46"/>
      <c r="U21" s="46"/>
    </row>
    <row r="22" spans="1:21">
      <c r="A22" s="338" t="s">
        <v>16</v>
      </c>
      <c r="B22" s="46" t="s">
        <v>17</v>
      </c>
      <c r="C22" s="46"/>
      <c r="D22" s="46"/>
      <c r="E22" s="46"/>
      <c r="F22" s="46"/>
      <c r="G22" s="46"/>
      <c r="H22" s="46"/>
      <c r="I22" s="46"/>
      <c r="J22" s="46"/>
      <c r="K22" s="46"/>
      <c r="L22" s="46"/>
      <c r="M22" s="46"/>
      <c r="N22" s="46"/>
      <c r="O22" s="46"/>
      <c r="P22" s="46"/>
      <c r="Q22" s="46"/>
      <c r="R22" s="46"/>
      <c r="S22" s="46"/>
      <c r="T22" s="46"/>
      <c r="U22" s="46"/>
    </row>
    <row r="23" spans="1:21">
      <c r="A23" s="338" t="s">
        <v>18</v>
      </c>
      <c r="B23" s="46" t="s">
        <v>18</v>
      </c>
      <c r="C23" s="46"/>
      <c r="D23" s="46"/>
      <c r="E23" s="46"/>
      <c r="F23" s="46"/>
      <c r="G23" s="46"/>
      <c r="H23" s="46"/>
      <c r="I23" s="46"/>
      <c r="J23" s="46"/>
      <c r="K23" s="46"/>
      <c r="L23" s="46"/>
      <c r="M23" s="46"/>
      <c r="N23" s="46"/>
      <c r="O23" s="46"/>
      <c r="P23" s="46"/>
      <c r="Q23" s="46"/>
      <c r="R23" s="46"/>
      <c r="S23" s="46"/>
      <c r="T23" s="46"/>
      <c r="U23" s="46"/>
    </row>
    <row r="24" spans="1:21">
      <c r="A24" s="335" t="s">
        <v>19</v>
      </c>
      <c r="B24" s="46"/>
      <c r="C24" s="46"/>
      <c r="D24" s="46"/>
      <c r="E24" s="46"/>
      <c r="F24" s="46"/>
      <c r="G24" s="46"/>
      <c r="H24" s="46"/>
      <c r="I24" s="46"/>
      <c r="J24" s="46"/>
      <c r="K24" s="46"/>
      <c r="L24" s="46"/>
      <c r="M24" s="46"/>
      <c r="N24" s="46"/>
      <c r="O24" s="46"/>
      <c r="P24" s="46"/>
      <c r="Q24" s="46"/>
      <c r="R24" s="46"/>
      <c r="S24" s="46"/>
      <c r="T24" s="46"/>
      <c r="U24" s="46"/>
    </row>
    <row r="25" spans="1:21">
      <c r="A25" s="335" t="s">
        <v>20</v>
      </c>
      <c r="B25" s="336" t="s">
        <v>21</v>
      </c>
      <c r="C25" s="336" t="s">
        <v>18</v>
      </c>
      <c r="D25" s="336" t="s">
        <v>22</v>
      </c>
      <c r="E25" s="336" t="s">
        <v>7</v>
      </c>
      <c r="F25" s="336" t="s">
        <v>13</v>
      </c>
      <c r="G25" s="336" t="s">
        <v>16</v>
      </c>
      <c r="H25" s="336" t="s">
        <v>23</v>
      </c>
      <c r="I25" s="336" t="s">
        <v>24</v>
      </c>
      <c r="J25" s="336" t="s">
        <v>25</v>
      </c>
      <c r="K25" s="336" t="s">
        <v>26</v>
      </c>
      <c r="L25" s="336" t="s">
        <v>27</v>
      </c>
      <c r="M25" s="336" t="s">
        <v>28</v>
      </c>
      <c r="N25" s="336" t="s">
        <v>11</v>
      </c>
      <c r="O25" s="46"/>
      <c r="P25" s="46"/>
      <c r="Q25" s="46"/>
      <c r="R25" s="46"/>
      <c r="S25" s="46"/>
      <c r="T25" s="46"/>
      <c r="U25" s="46"/>
    </row>
    <row r="26" spans="1:21">
      <c r="A26" s="46" t="s">
        <v>1087</v>
      </c>
      <c r="B26" s="46">
        <v>1</v>
      </c>
      <c r="C26" s="46" t="s">
        <v>18</v>
      </c>
      <c r="D26" s="400" t="s">
        <v>2</v>
      </c>
      <c r="E26" s="46" t="s">
        <v>29</v>
      </c>
      <c r="F26" s="32" t="s">
        <v>14</v>
      </c>
      <c r="G26" s="46" t="s">
        <v>30</v>
      </c>
      <c r="H26" s="46">
        <v>1</v>
      </c>
      <c r="I26" s="46">
        <f>B26</f>
        <v>1</v>
      </c>
      <c r="J26" s="46" t="s">
        <v>31</v>
      </c>
      <c r="K26" s="46" t="s">
        <v>31</v>
      </c>
      <c r="L26" s="46" t="s">
        <v>31</v>
      </c>
      <c r="M26" s="46" t="s">
        <v>31</v>
      </c>
      <c r="N26" s="46"/>
      <c r="O26" s="46"/>
      <c r="P26" s="46"/>
      <c r="Q26" s="46"/>
      <c r="R26" s="46"/>
      <c r="S26" s="46"/>
      <c r="T26" s="46"/>
      <c r="U26" s="46"/>
    </row>
    <row r="27" spans="1:21">
      <c r="A27" s="47" t="s">
        <v>610</v>
      </c>
      <c r="B27" s="46">
        <f>P27</f>
        <v>0.47</v>
      </c>
      <c r="C27" s="46" t="s">
        <v>37</v>
      </c>
      <c r="D27" s="46" t="s">
        <v>40</v>
      </c>
      <c r="E27" s="46" t="s">
        <v>29</v>
      </c>
      <c r="F27" s="46" t="s">
        <v>58</v>
      </c>
      <c r="G27" s="46" t="s">
        <v>33</v>
      </c>
      <c r="H27" s="46">
        <v>1</v>
      </c>
      <c r="I27" s="46">
        <f>B27</f>
        <v>0.47</v>
      </c>
      <c r="J27" s="46" t="s">
        <v>31</v>
      </c>
      <c r="K27" s="46" t="s">
        <v>31</v>
      </c>
      <c r="L27" s="46" t="s">
        <v>31</v>
      </c>
      <c r="M27" s="46" t="s">
        <v>31</v>
      </c>
      <c r="N27" s="46"/>
      <c r="O27" s="46" t="s">
        <v>221</v>
      </c>
      <c r="P27" s="46">
        <v>0.47</v>
      </c>
      <c r="Q27" s="46"/>
      <c r="R27" s="46"/>
      <c r="S27" s="46"/>
      <c r="T27" s="46"/>
      <c r="U27" s="46"/>
    </row>
    <row r="28" spans="1:21">
      <c r="A28" s="47" t="s">
        <v>908</v>
      </c>
      <c r="B28" s="46">
        <f>R28</f>
        <v>0.312</v>
      </c>
      <c r="C28" s="46" t="s">
        <v>37</v>
      </c>
      <c r="D28" s="46" t="s">
        <v>40</v>
      </c>
      <c r="E28" s="46" t="s">
        <v>29</v>
      </c>
      <c r="F28" s="46" t="s">
        <v>58</v>
      </c>
      <c r="G28" s="46" t="s">
        <v>33</v>
      </c>
      <c r="H28" s="46">
        <v>2</v>
      </c>
      <c r="I28" s="46">
        <f>LN(B28)</f>
        <v>-1.1647520911726548</v>
      </c>
      <c r="J28" s="46">
        <v>3.7749172176353707E-2</v>
      </c>
      <c r="K28" s="46" t="s">
        <v>31</v>
      </c>
      <c r="L28" s="46" t="s">
        <v>31</v>
      </c>
      <c r="M28" s="46" t="s">
        <v>31</v>
      </c>
      <c r="N28" s="46"/>
      <c r="O28" s="393" t="s">
        <v>575</v>
      </c>
      <c r="P28" s="406">
        <v>312</v>
      </c>
      <c r="Q28" s="46" t="s">
        <v>221</v>
      </c>
      <c r="R28" s="46">
        <f>P28*0.001</f>
        <v>0.312</v>
      </c>
      <c r="S28" s="46"/>
      <c r="T28" s="46"/>
      <c r="U28" s="46"/>
    </row>
    <row r="29" spans="1:21">
      <c r="A29" s="47" t="s">
        <v>909</v>
      </c>
      <c r="B29" s="46">
        <f>R29</f>
        <v>1.8600000000000002E-2</v>
      </c>
      <c r="C29" s="46" t="s">
        <v>37</v>
      </c>
      <c r="D29" s="46" t="s">
        <v>40</v>
      </c>
      <c r="E29" s="46" t="s">
        <v>29</v>
      </c>
      <c r="F29" s="46" t="s">
        <v>58</v>
      </c>
      <c r="G29" s="46" t="s">
        <v>33</v>
      </c>
      <c r="H29" s="46">
        <v>2</v>
      </c>
      <c r="I29" s="46">
        <f>LN(B29)</f>
        <v>-3.9845936982629815</v>
      </c>
      <c r="J29" s="46">
        <v>3.7749172176353707E-2</v>
      </c>
      <c r="K29" s="46" t="s">
        <v>31</v>
      </c>
      <c r="L29" s="46" t="s">
        <v>31</v>
      </c>
      <c r="M29" s="46" t="s">
        <v>31</v>
      </c>
      <c r="N29" s="46"/>
      <c r="O29" s="393" t="s">
        <v>575</v>
      </c>
      <c r="P29" s="406">
        <v>18.600000000000001</v>
      </c>
      <c r="Q29" s="46" t="s">
        <v>221</v>
      </c>
      <c r="R29" s="46">
        <f t="shared" ref="R29:R30" si="0">P29*0.001</f>
        <v>1.8600000000000002E-2</v>
      </c>
      <c r="S29" s="46"/>
      <c r="T29" s="46"/>
      <c r="U29" s="46"/>
    </row>
    <row r="30" spans="1:21">
      <c r="A30" s="47" t="s">
        <v>910</v>
      </c>
      <c r="B30" s="46">
        <f>R30</f>
        <v>0.14100000000000001</v>
      </c>
      <c r="C30" s="46" t="s">
        <v>37</v>
      </c>
      <c r="D30" s="46" t="s">
        <v>40</v>
      </c>
      <c r="E30" s="46" t="s">
        <v>29</v>
      </c>
      <c r="F30" s="46" t="s">
        <v>58</v>
      </c>
      <c r="G30" s="46" t="s">
        <v>33</v>
      </c>
      <c r="H30" s="46">
        <v>2</v>
      </c>
      <c r="I30" s="46">
        <f>LN(B30)</f>
        <v>-1.9589953886039686</v>
      </c>
      <c r="J30" s="46">
        <v>3.7749172176353707E-2</v>
      </c>
      <c r="K30" s="46" t="s">
        <v>31</v>
      </c>
      <c r="L30" s="46" t="s">
        <v>31</v>
      </c>
      <c r="M30" s="46" t="s">
        <v>31</v>
      </c>
      <c r="N30" s="46"/>
      <c r="O30" s="393" t="s">
        <v>575</v>
      </c>
      <c r="P30" s="406">
        <v>141</v>
      </c>
      <c r="Q30" s="46" t="s">
        <v>221</v>
      </c>
      <c r="R30" s="46">
        <f t="shared" si="0"/>
        <v>0.14100000000000001</v>
      </c>
      <c r="S30" s="46"/>
      <c r="T30" s="46"/>
      <c r="U30" s="46"/>
    </row>
    <row r="31" spans="1:21">
      <c r="A31" s="362" t="s">
        <v>5</v>
      </c>
      <c r="B31" s="363" t="s">
        <v>1086</v>
      </c>
      <c r="C31" s="364"/>
      <c r="D31" s="345"/>
      <c r="E31" s="345"/>
      <c r="F31" s="345"/>
      <c r="G31" s="345"/>
      <c r="H31" s="345"/>
      <c r="I31" s="345"/>
      <c r="J31" s="345"/>
      <c r="K31" s="345"/>
      <c r="L31" s="345"/>
      <c r="M31" s="345"/>
      <c r="N31" s="46"/>
      <c r="O31" s="46"/>
      <c r="P31" s="46"/>
      <c r="Q31" s="46"/>
      <c r="R31" s="46"/>
      <c r="S31" s="46"/>
      <c r="T31" s="46"/>
      <c r="U31" s="46"/>
    </row>
    <row r="32" spans="1:21">
      <c r="A32" s="338" t="s">
        <v>7</v>
      </c>
      <c r="B32" s="46" t="s">
        <v>779</v>
      </c>
      <c r="C32" s="337"/>
      <c r="D32" s="46"/>
      <c r="E32" s="46"/>
      <c r="F32" s="46"/>
      <c r="G32" s="46"/>
      <c r="H32" s="46"/>
      <c r="I32" s="46"/>
      <c r="J32" s="46"/>
      <c r="K32" s="46"/>
      <c r="L32" s="46"/>
      <c r="M32" s="46"/>
      <c r="N32" s="46"/>
      <c r="O32" s="46"/>
      <c r="P32" s="46"/>
      <c r="Q32" s="46"/>
      <c r="R32" s="46"/>
      <c r="S32" s="46"/>
      <c r="T32" s="46"/>
      <c r="U32" s="46"/>
    </row>
    <row r="33" spans="1:21">
      <c r="A33" s="338" t="s">
        <v>9</v>
      </c>
      <c r="B33" s="46" t="s">
        <v>1089</v>
      </c>
      <c r="C33" s="337"/>
      <c r="D33" s="46"/>
      <c r="E33" s="46"/>
      <c r="F33" s="46"/>
      <c r="G33" s="46"/>
      <c r="H33" s="46"/>
      <c r="I33" s="46"/>
      <c r="J33" s="46"/>
      <c r="K33" s="46"/>
      <c r="L33" s="46"/>
      <c r="M33" s="46"/>
      <c r="N33" s="46"/>
      <c r="O33" s="46"/>
      <c r="P33" s="46"/>
      <c r="Q33" s="46"/>
      <c r="R33" s="46"/>
      <c r="S33" s="46"/>
      <c r="T33" s="46"/>
      <c r="U33" s="46"/>
    </row>
    <row r="34" spans="1:21" ht="18" customHeight="1">
      <c r="A34" s="338" t="s">
        <v>11</v>
      </c>
      <c r="B34" s="339" t="s">
        <v>789</v>
      </c>
      <c r="C34" s="46"/>
      <c r="D34" s="46"/>
      <c r="E34" s="46"/>
      <c r="F34" s="46"/>
      <c r="G34" s="46"/>
      <c r="H34" s="46"/>
      <c r="I34" s="46"/>
      <c r="J34" s="46"/>
      <c r="K34" s="46"/>
      <c r="L34" s="46"/>
      <c r="M34" s="46"/>
      <c r="N34" s="46"/>
      <c r="O34" s="46"/>
      <c r="P34" s="46"/>
      <c r="Q34" s="46"/>
      <c r="R34" s="46"/>
      <c r="S34" s="46"/>
      <c r="T34" s="46"/>
      <c r="U34" s="46"/>
    </row>
    <row r="35" spans="1:21">
      <c r="A35" s="338" t="s">
        <v>13</v>
      </c>
      <c r="B35" s="46" t="s">
        <v>14</v>
      </c>
      <c r="C35" s="46"/>
      <c r="D35" s="46"/>
      <c r="E35" s="46"/>
      <c r="F35" s="46"/>
      <c r="G35" s="46"/>
      <c r="H35" s="46"/>
      <c r="I35" s="46"/>
      <c r="J35" s="46"/>
      <c r="K35" s="46"/>
      <c r="L35" s="46"/>
      <c r="M35" s="46"/>
      <c r="N35" s="46"/>
      <c r="O35" s="46"/>
      <c r="P35" s="46"/>
      <c r="Q35" s="46"/>
      <c r="R35" s="46"/>
      <c r="S35" s="46"/>
      <c r="T35" s="46"/>
      <c r="U35" s="46"/>
    </row>
    <row r="36" spans="1:21">
      <c r="A36" s="338" t="s">
        <v>15</v>
      </c>
      <c r="B36" s="46">
        <v>1</v>
      </c>
      <c r="C36" s="46"/>
      <c r="D36" s="46"/>
      <c r="E36" s="46"/>
      <c r="F36" s="46"/>
      <c r="G36" s="46"/>
      <c r="H36" s="46"/>
      <c r="I36" s="46"/>
      <c r="J36" s="46"/>
      <c r="K36" s="46"/>
      <c r="L36" s="46"/>
      <c r="M36" s="46"/>
      <c r="N36" s="46"/>
      <c r="O36" s="46"/>
      <c r="P36" s="46"/>
      <c r="Q36" s="46"/>
      <c r="R36" s="46"/>
      <c r="S36" s="46"/>
      <c r="T36" s="46"/>
      <c r="U36" s="46"/>
    </row>
    <row r="37" spans="1:21">
      <c r="A37" s="338" t="s">
        <v>16</v>
      </c>
      <c r="B37" s="46" t="s">
        <v>17</v>
      </c>
      <c r="C37" s="46"/>
      <c r="D37" s="46"/>
      <c r="E37" s="46"/>
      <c r="F37" s="46"/>
      <c r="G37" s="46"/>
      <c r="H37" s="46"/>
      <c r="I37" s="46"/>
      <c r="J37" s="46"/>
      <c r="K37" s="46"/>
      <c r="L37" s="46"/>
      <c r="M37" s="46"/>
      <c r="N37" s="46"/>
      <c r="O37" s="46"/>
      <c r="P37" s="46"/>
      <c r="Q37" s="46"/>
      <c r="R37" s="46"/>
      <c r="S37" s="46"/>
      <c r="T37" s="46"/>
      <c r="U37" s="46"/>
    </row>
    <row r="38" spans="1:21">
      <c r="A38" s="338" t="s">
        <v>18</v>
      </c>
      <c r="B38" s="46" t="s">
        <v>18</v>
      </c>
      <c r="C38" s="46"/>
      <c r="D38" s="46"/>
      <c r="E38" s="46"/>
      <c r="F38" s="46"/>
      <c r="G38" s="46"/>
      <c r="H38" s="46"/>
      <c r="I38" s="46"/>
      <c r="J38" s="46"/>
      <c r="K38" s="46"/>
      <c r="L38" s="46"/>
      <c r="M38" s="46"/>
      <c r="N38" s="46"/>
      <c r="O38" s="46"/>
      <c r="P38" s="46"/>
      <c r="Q38" s="46"/>
      <c r="R38" s="46"/>
      <c r="S38" s="46"/>
      <c r="T38" s="46"/>
      <c r="U38" s="46"/>
    </row>
    <row r="39" spans="1:21">
      <c r="A39" s="335" t="s">
        <v>19</v>
      </c>
      <c r="B39" s="46"/>
      <c r="C39" s="46"/>
      <c r="D39" s="46"/>
      <c r="E39" s="46"/>
      <c r="F39" s="46"/>
      <c r="G39" s="46"/>
      <c r="H39" s="46"/>
      <c r="I39" s="46"/>
      <c r="J39" s="46"/>
      <c r="K39" s="46"/>
      <c r="L39" s="46"/>
      <c r="M39" s="46"/>
      <c r="N39" s="46"/>
      <c r="O39" s="46"/>
      <c r="P39" s="46"/>
      <c r="Q39" s="46"/>
      <c r="R39" s="46"/>
      <c r="S39" s="46"/>
      <c r="T39" s="46"/>
      <c r="U39" s="46"/>
    </row>
    <row r="40" spans="1:21">
      <c r="A40" s="335" t="s">
        <v>20</v>
      </c>
      <c r="B40" s="336" t="s">
        <v>21</v>
      </c>
      <c r="C40" s="336" t="s">
        <v>18</v>
      </c>
      <c r="D40" s="336" t="s">
        <v>22</v>
      </c>
      <c r="E40" s="336" t="s">
        <v>7</v>
      </c>
      <c r="F40" s="336" t="s">
        <v>13</v>
      </c>
      <c r="G40" s="336" t="s">
        <v>16</v>
      </c>
      <c r="H40" s="336" t="s">
        <v>23</v>
      </c>
      <c r="I40" s="336" t="s">
        <v>24</v>
      </c>
      <c r="J40" s="336" t="s">
        <v>25</v>
      </c>
      <c r="K40" s="336" t="s">
        <v>26</v>
      </c>
      <c r="L40" s="336" t="s">
        <v>27</v>
      </c>
      <c r="M40" s="336" t="s">
        <v>28</v>
      </c>
      <c r="N40" s="336" t="s">
        <v>11</v>
      </c>
      <c r="O40" s="46"/>
      <c r="P40" s="46"/>
      <c r="Q40" s="46"/>
      <c r="R40" s="46"/>
      <c r="S40" s="46"/>
      <c r="T40" s="46"/>
      <c r="U40" s="46"/>
    </row>
    <row r="41" spans="1:21">
      <c r="A41" s="46" t="s">
        <v>1086</v>
      </c>
      <c r="B41" s="46">
        <v>1</v>
      </c>
      <c r="C41" s="46" t="s">
        <v>18</v>
      </c>
      <c r="D41" s="400" t="s">
        <v>2</v>
      </c>
      <c r="E41" s="46" t="s">
        <v>29</v>
      </c>
      <c r="F41" s="32" t="s">
        <v>14</v>
      </c>
      <c r="G41" s="46" t="s">
        <v>30</v>
      </c>
      <c r="H41" s="46">
        <v>1</v>
      </c>
      <c r="I41" s="46">
        <f>B41</f>
        <v>1</v>
      </c>
      <c r="J41" s="46" t="s">
        <v>31</v>
      </c>
      <c r="K41" s="46" t="s">
        <v>31</v>
      </c>
      <c r="L41" s="46" t="s">
        <v>31</v>
      </c>
      <c r="M41" s="46" t="s">
        <v>31</v>
      </c>
      <c r="N41" s="46"/>
      <c r="O41" s="46"/>
      <c r="P41" s="46"/>
      <c r="Q41" s="46"/>
      <c r="R41" s="46"/>
      <c r="S41" s="46"/>
      <c r="T41" s="46"/>
      <c r="U41" s="46"/>
    </row>
    <row r="42" spans="1:21">
      <c r="A42" s="47" t="s">
        <v>1090</v>
      </c>
      <c r="B42" s="46">
        <f>B55</f>
        <v>0.16700000000000001</v>
      </c>
      <c r="C42" s="46" t="s">
        <v>37</v>
      </c>
      <c r="D42" s="400" t="s">
        <v>2</v>
      </c>
      <c r="E42" s="46" t="s">
        <v>29</v>
      </c>
      <c r="F42" s="32" t="s">
        <v>14</v>
      </c>
      <c r="G42" s="46" t="s">
        <v>33</v>
      </c>
      <c r="H42" s="46">
        <v>1</v>
      </c>
      <c r="I42" s="46">
        <f>B42</f>
        <v>0.16700000000000001</v>
      </c>
      <c r="J42" s="46" t="s">
        <v>31</v>
      </c>
      <c r="K42" s="46" t="s">
        <v>31</v>
      </c>
      <c r="L42" s="46" t="s">
        <v>31</v>
      </c>
      <c r="M42" s="46" t="s">
        <v>31</v>
      </c>
      <c r="N42" s="46"/>
      <c r="O42" s="62"/>
      <c r="P42" s="413"/>
      <c r="Q42" s="46"/>
      <c r="R42" s="46"/>
      <c r="S42" s="46"/>
      <c r="T42" s="46"/>
      <c r="U42" s="46"/>
    </row>
    <row r="43" spans="1:21">
      <c r="A43" s="47" t="s">
        <v>1091</v>
      </c>
      <c r="B43" s="46">
        <v>1</v>
      </c>
      <c r="C43" s="46" t="s">
        <v>18</v>
      </c>
      <c r="D43" s="400" t="s">
        <v>2</v>
      </c>
      <c r="E43" s="46" t="s">
        <v>29</v>
      </c>
      <c r="F43" s="32" t="s">
        <v>14</v>
      </c>
      <c r="G43" s="46" t="s">
        <v>33</v>
      </c>
      <c r="H43" s="46">
        <v>1</v>
      </c>
      <c r="I43" s="46">
        <f>B43</f>
        <v>1</v>
      </c>
      <c r="J43" s="46" t="s">
        <v>31</v>
      </c>
      <c r="K43" s="46" t="s">
        <v>31</v>
      </c>
      <c r="L43" s="46" t="s">
        <v>31</v>
      </c>
      <c r="M43" s="46" t="s">
        <v>31</v>
      </c>
      <c r="N43" s="46"/>
      <c r="O43" s="46"/>
      <c r="P43" s="46"/>
      <c r="Q43" s="46"/>
      <c r="R43" s="46"/>
      <c r="S43" s="46"/>
      <c r="T43" s="46"/>
      <c r="U43" s="46"/>
    </row>
    <row r="44" spans="1:21">
      <c r="A44" s="338" t="s">
        <v>75</v>
      </c>
      <c r="B44" s="350">
        <f>R44</f>
        <v>0.03</v>
      </c>
      <c r="C44" s="46" t="s">
        <v>39</v>
      </c>
      <c r="D44" s="46" t="s">
        <v>40</v>
      </c>
      <c r="E44" s="46" t="s">
        <v>29</v>
      </c>
      <c r="F44" s="32" t="s">
        <v>35</v>
      </c>
      <c r="G44" s="46" t="s">
        <v>33</v>
      </c>
      <c r="H44" s="46">
        <v>2</v>
      </c>
      <c r="I44" s="46">
        <f t="shared" ref="I44" si="1">LN(B44)</f>
        <v>-3.5065578973199818</v>
      </c>
      <c r="J44" s="46">
        <v>7.2284161474004766E-2</v>
      </c>
      <c r="K44" s="46" t="s">
        <v>31</v>
      </c>
      <c r="L44" s="46" t="s">
        <v>31</v>
      </c>
      <c r="M44" s="46" t="s">
        <v>31</v>
      </c>
      <c r="N44" s="46"/>
      <c r="O44" s="375" t="s">
        <v>216</v>
      </c>
      <c r="P44" s="385">
        <v>0.03</v>
      </c>
      <c r="Q44" s="46" t="s">
        <v>216</v>
      </c>
      <c r="R44" s="350">
        <f>P44</f>
        <v>0.03</v>
      </c>
      <c r="S44" s="46"/>
      <c r="T44" s="46"/>
      <c r="U44" s="46"/>
    </row>
    <row r="45" spans="1:21">
      <c r="A45" s="362" t="s">
        <v>5</v>
      </c>
      <c r="B45" s="363" t="s">
        <v>1090</v>
      </c>
      <c r="C45" s="364"/>
      <c r="D45" s="345"/>
      <c r="E45" s="345"/>
      <c r="F45" s="345"/>
      <c r="G45" s="345"/>
      <c r="H45" s="345"/>
      <c r="I45" s="345"/>
      <c r="J45" s="345"/>
      <c r="K45" s="345"/>
      <c r="L45" s="345"/>
      <c r="M45" s="345"/>
      <c r="N45" s="46"/>
      <c r="O45" s="46"/>
      <c r="P45" s="46"/>
      <c r="Q45" s="46"/>
      <c r="R45" s="46"/>
      <c r="S45" s="46"/>
      <c r="T45" s="46"/>
      <c r="U45" s="46"/>
    </row>
    <row r="46" spans="1:21">
      <c r="A46" s="338" t="s">
        <v>7</v>
      </c>
      <c r="B46" s="46" t="s">
        <v>779</v>
      </c>
      <c r="C46" s="337"/>
      <c r="D46" s="46"/>
      <c r="E46" s="46"/>
      <c r="F46" s="46"/>
      <c r="G46" s="46"/>
      <c r="H46" s="46"/>
      <c r="I46" s="46"/>
      <c r="J46" s="46"/>
      <c r="K46" s="46"/>
      <c r="L46" s="46"/>
      <c r="M46" s="46"/>
      <c r="N46" s="46"/>
      <c r="O46" s="46"/>
      <c r="P46" s="46"/>
      <c r="Q46" s="46"/>
      <c r="R46" s="46"/>
      <c r="S46" s="46"/>
      <c r="T46" s="46"/>
      <c r="U46" s="46"/>
    </row>
    <row r="47" spans="1:21">
      <c r="A47" s="338" t="s">
        <v>9</v>
      </c>
      <c r="B47" s="46" t="s">
        <v>1092</v>
      </c>
      <c r="C47" s="337"/>
      <c r="D47" s="46"/>
      <c r="E47" s="46"/>
      <c r="F47" s="46"/>
      <c r="G47" s="46"/>
      <c r="H47" s="46"/>
      <c r="I47" s="46"/>
      <c r="J47" s="46"/>
      <c r="K47" s="46"/>
      <c r="L47" s="46"/>
      <c r="M47" s="46"/>
      <c r="N47" s="46"/>
      <c r="O47" s="46"/>
      <c r="P47" s="46"/>
      <c r="Q47" s="46"/>
      <c r="R47" s="46"/>
      <c r="S47" s="46"/>
      <c r="T47" s="46"/>
      <c r="U47" s="46"/>
    </row>
    <row r="48" spans="1:21" ht="11.25" customHeight="1">
      <c r="A48" s="338" t="s">
        <v>11</v>
      </c>
      <c r="B48" s="339" t="s">
        <v>789</v>
      </c>
      <c r="C48" s="46"/>
      <c r="D48" s="46"/>
      <c r="E48" s="46"/>
      <c r="F48" s="46"/>
      <c r="G48" s="46"/>
      <c r="H48" s="46"/>
      <c r="I48" s="46"/>
      <c r="J48" s="46"/>
      <c r="K48" s="46"/>
      <c r="L48" s="46"/>
      <c r="M48" s="46"/>
      <c r="N48" s="46"/>
      <c r="O48" s="46"/>
      <c r="P48" s="46"/>
      <c r="Q48" s="46"/>
      <c r="R48" s="46"/>
      <c r="S48" s="46"/>
      <c r="T48" s="46"/>
      <c r="U48" s="46"/>
    </row>
    <row r="49" spans="1:21">
      <c r="A49" s="338" t="s">
        <v>13</v>
      </c>
      <c r="B49" s="46" t="s">
        <v>14</v>
      </c>
      <c r="C49" s="46"/>
      <c r="D49" s="46"/>
      <c r="E49" s="46"/>
      <c r="F49" s="46"/>
      <c r="G49" s="46"/>
      <c r="H49" s="46"/>
      <c r="I49" s="46"/>
      <c r="J49" s="46"/>
      <c r="K49" s="46"/>
      <c r="L49" s="46"/>
      <c r="M49" s="46"/>
      <c r="N49" s="46"/>
      <c r="O49" s="46"/>
      <c r="P49" s="46"/>
      <c r="Q49" s="46"/>
      <c r="R49" s="46"/>
      <c r="S49" s="46"/>
      <c r="T49" s="46"/>
      <c r="U49" s="46"/>
    </row>
    <row r="50" spans="1:21">
      <c r="A50" s="338" t="s">
        <v>15</v>
      </c>
      <c r="B50" s="46">
        <f>B55</f>
        <v>0.16700000000000001</v>
      </c>
      <c r="C50" s="46"/>
      <c r="D50" s="46"/>
      <c r="E50" s="46"/>
      <c r="F50" s="46"/>
      <c r="G50" s="46"/>
      <c r="H50" s="46"/>
      <c r="I50" s="46"/>
      <c r="J50" s="46"/>
      <c r="K50" s="46"/>
      <c r="L50" s="46"/>
      <c r="M50" s="46"/>
      <c r="N50" s="46"/>
      <c r="O50" s="46"/>
      <c r="P50" s="46"/>
      <c r="Q50" s="46"/>
      <c r="R50" s="46"/>
      <c r="S50" s="46"/>
      <c r="T50" s="46"/>
      <c r="U50" s="46"/>
    </row>
    <row r="51" spans="1:21">
      <c r="A51" s="338" t="s">
        <v>16</v>
      </c>
      <c r="B51" s="46" t="s">
        <v>17</v>
      </c>
      <c r="C51" s="46"/>
      <c r="D51" s="46"/>
      <c r="E51" s="46"/>
      <c r="F51" s="46"/>
      <c r="G51" s="46"/>
      <c r="H51" s="46"/>
      <c r="I51" s="46"/>
      <c r="J51" s="46"/>
      <c r="K51" s="46"/>
      <c r="L51" s="46"/>
      <c r="M51" s="46"/>
      <c r="N51" s="46"/>
      <c r="O51" s="46"/>
      <c r="P51" s="46"/>
      <c r="Q51" s="46"/>
      <c r="R51" s="46"/>
      <c r="S51" s="46"/>
      <c r="T51" s="46"/>
      <c r="U51" s="46"/>
    </row>
    <row r="52" spans="1:21">
      <c r="A52" s="338" t="s">
        <v>18</v>
      </c>
      <c r="B52" s="46" t="s">
        <v>37</v>
      </c>
      <c r="C52" s="46"/>
      <c r="D52" s="46"/>
      <c r="E52" s="46"/>
      <c r="F52" s="46"/>
      <c r="G52" s="46"/>
      <c r="H52" s="46"/>
      <c r="I52" s="46"/>
      <c r="J52" s="46"/>
      <c r="K52" s="46"/>
      <c r="L52" s="46"/>
      <c r="M52" s="46"/>
      <c r="N52" s="46"/>
      <c r="O52" s="46"/>
      <c r="P52" s="46"/>
      <c r="Q52" s="46"/>
      <c r="R52" s="46"/>
      <c r="S52" s="46"/>
      <c r="T52" s="46"/>
      <c r="U52" s="46"/>
    </row>
    <row r="53" spans="1:21">
      <c r="A53" s="335" t="s">
        <v>19</v>
      </c>
      <c r="B53" s="46"/>
      <c r="C53" s="46"/>
      <c r="D53" s="46"/>
      <c r="E53" s="46"/>
      <c r="F53" s="46"/>
      <c r="G53" s="46"/>
      <c r="H53" s="46"/>
      <c r="I53" s="46"/>
      <c r="J53" s="46"/>
      <c r="K53" s="46"/>
      <c r="L53" s="46"/>
      <c r="M53" s="46"/>
      <c r="N53" s="46"/>
      <c r="O53" s="46"/>
      <c r="P53" s="46"/>
      <c r="Q53" s="46"/>
      <c r="R53" s="46"/>
      <c r="S53" s="46"/>
      <c r="T53" s="46"/>
      <c r="U53" s="46"/>
    </row>
    <row r="54" spans="1:21">
      <c r="A54" s="335" t="s">
        <v>20</v>
      </c>
      <c r="B54" s="336" t="s">
        <v>21</v>
      </c>
      <c r="C54" s="336" t="s">
        <v>18</v>
      </c>
      <c r="D54" s="336" t="s">
        <v>22</v>
      </c>
      <c r="E54" s="336" t="s">
        <v>7</v>
      </c>
      <c r="F54" s="336" t="s">
        <v>13</v>
      </c>
      <c r="G54" s="336" t="s">
        <v>16</v>
      </c>
      <c r="H54" s="336" t="s">
        <v>23</v>
      </c>
      <c r="I54" s="336" t="s">
        <v>24</v>
      </c>
      <c r="J54" s="336" t="s">
        <v>25</v>
      </c>
      <c r="K54" s="336" t="s">
        <v>26</v>
      </c>
      <c r="L54" s="336" t="s">
        <v>27</v>
      </c>
      <c r="M54" s="336" t="s">
        <v>28</v>
      </c>
      <c r="N54" s="336" t="s">
        <v>11</v>
      </c>
      <c r="O54" s="46"/>
      <c r="P54" s="46"/>
      <c r="Q54" s="46"/>
      <c r="R54" s="46"/>
      <c r="S54" s="46"/>
      <c r="T54" s="46"/>
      <c r="U54" s="46"/>
    </row>
    <row r="55" spans="1:21">
      <c r="A55" s="47" t="s">
        <v>1090</v>
      </c>
      <c r="B55" s="46">
        <f>P55</f>
        <v>0.16700000000000001</v>
      </c>
      <c r="C55" s="46" t="s">
        <v>37</v>
      </c>
      <c r="D55" s="400" t="s">
        <v>2</v>
      </c>
      <c r="E55" s="46" t="s">
        <v>29</v>
      </c>
      <c r="F55" s="32" t="s">
        <v>14</v>
      </c>
      <c r="G55" s="46" t="s">
        <v>30</v>
      </c>
      <c r="H55" s="46">
        <v>1</v>
      </c>
      <c r="I55" s="46">
        <f>B55</f>
        <v>0.16700000000000001</v>
      </c>
      <c r="J55" s="46" t="s">
        <v>31</v>
      </c>
      <c r="K55" s="46" t="s">
        <v>31</v>
      </c>
      <c r="L55" s="46" t="s">
        <v>31</v>
      </c>
      <c r="M55" s="46" t="s">
        <v>31</v>
      </c>
      <c r="N55" s="46"/>
      <c r="O55" s="473" t="s">
        <v>221</v>
      </c>
      <c r="P55" s="474">
        <v>0.16700000000000001</v>
      </c>
      <c r="Q55" s="46" t="s">
        <v>221</v>
      </c>
      <c r="R55" s="46">
        <f>P55</f>
        <v>0.16700000000000001</v>
      </c>
      <c r="S55" s="46"/>
      <c r="T55" s="46"/>
      <c r="U55" s="46"/>
    </row>
    <row r="56" spans="1:21">
      <c r="A56" s="47" t="s">
        <v>601</v>
      </c>
      <c r="B56" s="384">
        <f>R56</f>
        <v>0.16700000000000001</v>
      </c>
      <c r="C56" s="46" t="s">
        <v>37</v>
      </c>
      <c r="D56" s="46" t="s">
        <v>40</v>
      </c>
      <c r="E56" s="46" t="s">
        <v>29</v>
      </c>
      <c r="F56" s="32" t="s">
        <v>35</v>
      </c>
      <c r="G56" s="46" t="s">
        <v>33</v>
      </c>
      <c r="H56" s="46">
        <v>2</v>
      </c>
      <c r="I56" s="46">
        <f>LN(B56)</f>
        <v>-1.7897614665653818</v>
      </c>
      <c r="J56" s="46">
        <v>2.8722813232690055E-2</v>
      </c>
      <c r="K56" s="46" t="s">
        <v>31</v>
      </c>
      <c r="L56" s="46" t="s">
        <v>31</v>
      </c>
      <c r="M56" s="46" t="s">
        <v>31</v>
      </c>
      <c r="N56" s="46"/>
      <c r="O56" s="475" t="s">
        <v>221</v>
      </c>
      <c r="P56" s="120">
        <v>0.16700000000000001</v>
      </c>
      <c r="Q56" s="46" t="s">
        <v>221</v>
      </c>
      <c r="R56" s="384">
        <f>P56</f>
        <v>0.16700000000000001</v>
      </c>
      <c r="S56" s="46"/>
      <c r="T56" s="46"/>
      <c r="U56" s="46"/>
    </row>
    <row r="57" spans="1:21">
      <c r="A57" s="338" t="s">
        <v>75</v>
      </c>
      <c r="B57" s="342">
        <f>R57</f>
        <v>0.05</v>
      </c>
      <c r="C57" s="46" t="s">
        <v>39</v>
      </c>
      <c r="D57" s="46" t="s">
        <v>40</v>
      </c>
      <c r="E57" s="46" t="s">
        <v>29</v>
      </c>
      <c r="F57" s="32" t="s">
        <v>35</v>
      </c>
      <c r="G57" s="46" t="s">
        <v>33</v>
      </c>
      <c r="H57" s="46">
        <v>2</v>
      </c>
      <c r="I57" s="46">
        <f t="shared" ref="I57" si="2">LN(B57)</f>
        <v>-2.9957322735539909</v>
      </c>
      <c r="J57" s="46">
        <v>7.2284161474004766E-2</v>
      </c>
      <c r="K57" s="46" t="s">
        <v>31</v>
      </c>
      <c r="L57" s="46" t="s">
        <v>31</v>
      </c>
      <c r="M57" s="46" t="s">
        <v>31</v>
      </c>
      <c r="N57" s="46"/>
      <c r="O57" s="375" t="s">
        <v>216</v>
      </c>
      <c r="P57" s="120">
        <v>0.05</v>
      </c>
      <c r="Q57" s="46" t="s">
        <v>216</v>
      </c>
      <c r="R57" s="342">
        <f>P57</f>
        <v>0.05</v>
      </c>
      <c r="S57" s="46"/>
      <c r="T57" s="46"/>
      <c r="U57" s="46"/>
    </row>
    <row r="58" spans="1:21">
      <c r="A58" s="362" t="s">
        <v>5</v>
      </c>
      <c r="B58" s="148" t="s">
        <v>1091</v>
      </c>
      <c r="C58" s="364"/>
      <c r="D58" s="345"/>
      <c r="E58" s="345"/>
      <c r="F58" s="345"/>
      <c r="G58" s="345"/>
      <c r="H58" s="345"/>
      <c r="I58" s="345"/>
      <c r="J58" s="345"/>
      <c r="K58" s="345"/>
      <c r="L58" s="345"/>
      <c r="M58" s="345"/>
      <c r="N58" s="46"/>
      <c r="O58" s="46"/>
      <c r="P58" s="46"/>
      <c r="Q58" s="46"/>
      <c r="R58" s="46"/>
      <c r="S58" s="46"/>
      <c r="T58" s="46"/>
      <c r="U58" s="46"/>
    </row>
    <row r="59" spans="1:21">
      <c r="A59" s="338" t="s">
        <v>7</v>
      </c>
      <c r="B59" s="46" t="s">
        <v>779</v>
      </c>
      <c r="C59" s="337"/>
      <c r="D59" s="46"/>
      <c r="E59" s="46"/>
      <c r="F59" s="46"/>
      <c r="G59" s="46"/>
      <c r="H59" s="46"/>
      <c r="I59" s="46"/>
      <c r="J59" s="46"/>
      <c r="K59" s="46"/>
      <c r="L59" s="46"/>
      <c r="M59" s="46"/>
      <c r="N59" s="46"/>
      <c r="O59" s="46"/>
      <c r="P59" s="46"/>
      <c r="Q59" s="46"/>
      <c r="R59" s="46"/>
      <c r="S59" s="46"/>
      <c r="T59" s="46"/>
      <c r="U59" s="46"/>
    </row>
    <row r="60" spans="1:21">
      <c r="A60" s="416" t="s">
        <v>9</v>
      </c>
      <c r="B60" s="46" t="s">
        <v>1093</v>
      </c>
      <c r="C60" s="337"/>
      <c r="D60" s="46"/>
      <c r="E60" s="46"/>
      <c r="F60" s="46"/>
      <c r="G60" s="46"/>
      <c r="H60" s="46"/>
      <c r="I60" s="46"/>
      <c r="J60" s="46"/>
      <c r="K60" s="46"/>
      <c r="L60" s="46"/>
      <c r="M60" s="46"/>
      <c r="N60" s="46"/>
      <c r="O60" s="46"/>
      <c r="P60" s="46"/>
      <c r="Q60" s="46"/>
      <c r="R60" s="46"/>
      <c r="S60" s="46"/>
      <c r="T60" s="46"/>
      <c r="U60" s="46"/>
    </row>
    <row r="61" spans="1:21" ht="27.75" customHeight="1">
      <c r="A61" s="338" t="s">
        <v>11</v>
      </c>
      <c r="B61" s="339" t="s">
        <v>789</v>
      </c>
      <c r="C61" s="46"/>
      <c r="D61" s="46"/>
      <c r="E61" s="46"/>
      <c r="F61" s="46"/>
      <c r="G61" s="46"/>
      <c r="H61" s="46"/>
      <c r="I61" s="46"/>
      <c r="J61" s="46"/>
      <c r="K61" s="46"/>
      <c r="L61" s="46"/>
      <c r="M61" s="46"/>
      <c r="N61" s="46"/>
      <c r="O61" s="46"/>
      <c r="P61" s="46"/>
      <c r="Q61" s="46"/>
      <c r="R61" s="46"/>
      <c r="S61" s="46"/>
      <c r="T61" s="46"/>
      <c r="U61" s="46"/>
    </row>
    <row r="62" spans="1:21">
      <c r="A62" s="338" t="s">
        <v>13</v>
      </c>
      <c r="B62" s="46" t="s">
        <v>14</v>
      </c>
      <c r="C62" s="46"/>
      <c r="D62" s="46"/>
      <c r="E62" s="46"/>
      <c r="F62" s="46"/>
      <c r="G62" s="46"/>
      <c r="H62" s="46"/>
      <c r="I62" s="46"/>
      <c r="J62" s="46"/>
      <c r="K62" s="46"/>
      <c r="L62" s="46"/>
      <c r="M62" s="46"/>
      <c r="N62" s="46"/>
      <c r="O62" s="46"/>
      <c r="P62" s="46"/>
      <c r="Q62" s="46"/>
      <c r="R62" s="46"/>
      <c r="S62" s="46"/>
      <c r="T62" s="46"/>
      <c r="U62" s="46"/>
    </row>
    <row r="63" spans="1:21">
      <c r="A63" s="338" t="s">
        <v>15</v>
      </c>
      <c r="B63" s="46">
        <v>1</v>
      </c>
      <c r="C63" s="46"/>
      <c r="D63" s="46"/>
      <c r="E63" s="46"/>
      <c r="F63" s="46"/>
      <c r="G63" s="46"/>
      <c r="H63" s="46"/>
      <c r="I63" s="46"/>
      <c r="J63" s="46"/>
      <c r="K63" s="46"/>
      <c r="L63" s="46"/>
      <c r="M63" s="46"/>
      <c r="N63" s="46"/>
      <c r="O63" s="46"/>
      <c r="P63" s="46"/>
      <c r="Q63" s="46"/>
      <c r="R63" s="46"/>
      <c r="S63" s="46"/>
      <c r="T63" s="46"/>
      <c r="U63" s="46"/>
    </row>
    <row r="64" spans="1:21">
      <c r="A64" s="338" t="s">
        <v>16</v>
      </c>
      <c r="B64" s="46" t="s">
        <v>17</v>
      </c>
      <c r="C64" s="46"/>
      <c r="D64" s="46"/>
      <c r="E64" s="46"/>
      <c r="F64" s="46"/>
      <c r="G64" s="46"/>
      <c r="H64" s="46"/>
      <c r="I64" s="46"/>
      <c r="J64" s="46"/>
      <c r="K64" s="46"/>
      <c r="L64" s="46"/>
      <c r="M64" s="46"/>
      <c r="N64" s="46"/>
      <c r="O64" s="46"/>
      <c r="P64" s="46"/>
      <c r="Q64" s="46"/>
      <c r="R64" s="46"/>
      <c r="S64" s="46"/>
      <c r="T64" s="46"/>
      <c r="U64" s="46"/>
    </row>
    <row r="65" spans="1:21">
      <c r="A65" s="338" t="s">
        <v>18</v>
      </c>
      <c r="B65" s="46" t="s">
        <v>18</v>
      </c>
      <c r="C65" s="46"/>
      <c r="D65" s="46"/>
      <c r="E65" s="46"/>
      <c r="F65" s="46"/>
      <c r="G65" s="46"/>
      <c r="H65" s="46"/>
      <c r="I65" s="46"/>
      <c r="J65" s="46"/>
      <c r="K65" s="46"/>
      <c r="L65" s="46"/>
      <c r="M65" s="46"/>
      <c r="N65" s="46"/>
      <c r="O65" s="46"/>
      <c r="P65" s="46"/>
      <c r="Q65" s="46"/>
      <c r="R65" s="46"/>
      <c r="S65" s="46"/>
      <c r="T65" s="46"/>
      <c r="U65" s="46"/>
    </row>
    <row r="66" spans="1:21">
      <c r="A66" s="335" t="s">
        <v>19</v>
      </c>
      <c r="B66" s="46"/>
      <c r="C66" s="46"/>
      <c r="D66" s="46"/>
      <c r="E66" s="46"/>
      <c r="F66" s="46"/>
      <c r="G66" s="46"/>
      <c r="H66" s="46"/>
      <c r="I66" s="46"/>
      <c r="J66" s="46"/>
      <c r="K66" s="46"/>
      <c r="L66" s="46"/>
      <c r="M66" s="46"/>
      <c r="N66" s="46"/>
      <c r="O66" s="46"/>
      <c r="P66" s="46"/>
      <c r="Q66" s="46"/>
      <c r="R66" s="46"/>
      <c r="S66" s="46"/>
      <c r="T66" s="46"/>
      <c r="U66" s="46"/>
    </row>
    <row r="67" spans="1:21">
      <c r="A67" s="335" t="s">
        <v>20</v>
      </c>
      <c r="B67" s="336" t="s">
        <v>21</v>
      </c>
      <c r="C67" s="336" t="s">
        <v>18</v>
      </c>
      <c r="D67" s="336" t="s">
        <v>22</v>
      </c>
      <c r="E67" s="336" t="s">
        <v>7</v>
      </c>
      <c r="F67" s="336" t="s">
        <v>13</v>
      </c>
      <c r="G67" s="336" t="s">
        <v>16</v>
      </c>
      <c r="H67" s="336" t="s">
        <v>23</v>
      </c>
      <c r="I67" s="336" t="s">
        <v>24</v>
      </c>
      <c r="J67" s="336" t="s">
        <v>25</v>
      </c>
      <c r="K67" s="336" t="s">
        <v>26</v>
      </c>
      <c r="L67" s="336" t="s">
        <v>27</v>
      </c>
      <c r="M67" s="336" t="s">
        <v>28</v>
      </c>
      <c r="N67" s="336" t="s">
        <v>11</v>
      </c>
      <c r="O67" s="46"/>
      <c r="P67" s="46"/>
      <c r="Q67" s="46"/>
      <c r="R67" s="46"/>
      <c r="S67" s="46"/>
      <c r="T67" s="46"/>
      <c r="U67" s="46"/>
    </row>
    <row r="68" spans="1:21">
      <c r="A68" s="47" t="s">
        <v>1091</v>
      </c>
      <c r="B68" s="46">
        <v>1</v>
      </c>
      <c r="C68" s="46" t="s">
        <v>18</v>
      </c>
      <c r="D68" s="400" t="s">
        <v>2</v>
      </c>
      <c r="E68" s="46" t="s">
        <v>29</v>
      </c>
      <c r="F68" s="32" t="s">
        <v>14</v>
      </c>
      <c r="G68" s="46" t="s">
        <v>30</v>
      </c>
      <c r="H68" s="46">
        <v>1</v>
      </c>
      <c r="I68" s="46">
        <f>B68</f>
        <v>1</v>
      </c>
      <c r="J68" s="46" t="s">
        <v>31</v>
      </c>
      <c r="K68" s="46" t="s">
        <v>31</v>
      </c>
      <c r="L68" s="46" t="s">
        <v>31</v>
      </c>
      <c r="M68" s="46" t="s">
        <v>31</v>
      </c>
      <c r="N68" s="46"/>
      <c r="O68" s="46"/>
      <c r="P68" s="46"/>
      <c r="Q68" s="46"/>
      <c r="R68" s="46"/>
      <c r="S68" s="46"/>
      <c r="T68" s="46"/>
      <c r="U68" s="46"/>
    </row>
    <row r="69" spans="1:21">
      <c r="A69" s="47" t="s">
        <v>1094</v>
      </c>
      <c r="B69" s="384">
        <f>B77</f>
        <v>0.09</v>
      </c>
      <c r="C69" s="46" t="s">
        <v>37</v>
      </c>
      <c r="D69" s="400" t="s">
        <v>2</v>
      </c>
      <c r="E69" s="46" t="s">
        <v>29</v>
      </c>
      <c r="F69" s="32" t="s">
        <v>14</v>
      </c>
      <c r="G69" s="46" t="s">
        <v>33</v>
      </c>
      <c r="H69" s="46">
        <v>1</v>
      </c>
      <c r="I69" s="46">
        <f>B69</f>
        <v>0.09</v>
      </c>
      <c r="J69" s="46" t="s">
        <v>31</v>
      </c>
      <c r="K69" s="46" t="s">
        <v>31</v>
      </c>
      <c r="L69" s="46" t="s">
        <v>31</v>
      </c>
      <c r="M69" s="46" t="s">
        <v>31</v>
      </c>
      <c r="N69" s="46"/>
      <c r="O69" s="375"/>
      <c r="P69" s="386"/>
      <c r="Q69" s="46" t="s">
        <v>221</v>
      </c>
      <c r="R69" s="384">
        <v>0.01</v>
      </c>
      <c r="S69" s="46"/>
      <c r="T69" s="46"/>
      <c r="U69" s="46"/>
    </row>
    <row r="70" spans="1:21">
      <c r="A70" s="47" t="s">
        <v>1095</v>
      </c>
      <c r="B70" s="342">
        <v>1</v>
      </c>
      <c r="C70" s="46" t="s">
        <v>18</v>
      </c>
      <c r="D70" s="400" t="s">
        <v>2</v>
      </c>
      <c r="E70" s="46" t="s">
        <v>29</v>
      </c>
      <c r="F70" s="32" t="s">
        <v>14</v>
      </c>
      <c r="G70" s="46" t="s">
        <v>33</v>
      </c>
      <c r="H70" s="46">
        <v>1</v>
      </c>
      <c r="I70" s="46">
        <f>B70</f>
        <v>1</v>
      </c>
      <c r="J70" s="46" t="s">
        <v>31</v>
      </c>
      <c r="K70" s="46" t="s">
        <v>31</v>
      </c>
      <c r="L70" s="46" t="s">
        <v>31</v>
      </c>
      <c r="M70" s="46" t="s">
        <v>31</v>
      </c>
      <c r="N70" s="46"/>
      <c r="O70" s="375"/>
      <c r="P70" s="432"/>
      <c r="Q70" s="46"/>
      <c r="R70" s="342"/>
      <c r="S70" s="46"/>
      <c r="T70" s="46"/>
      <c r="U70" s="46"/>
    </row>
    <row r="71" spans="1:21">
      <c r="A71" s="338" t="s">
        <v>75</v>
      </c>
      <c r="B71" s="342">
        <f>R71</f>
        <v>0.56999999999999995</v>
      </c>
      <c r="C71" s="46" t="s">
        <v>39</v>
      </c>
      <c r="D71" s="46" t="s">
        <v>40</v>
      </c>
      <c r="E71" s="46" t="s">
        <v>29</v>
      </c>
      <c r="F71" s="32" t="s">
        <v>35</v>
      </c>
      <c r="G71" s="46" t="s">
        <v>33</v>
      </c>
      <c r="H71" s="46">
        <v>2</v>
      </c>
      <c r="I71" s="46">
        <f t="shared" ref="I71" si="3">LN(B71)</f>
        <v>-0.56211891815354131</v>
      </c>
      <c r="J71" s="46">
        <v>7.2284161474004766E-2</v>
      </c>
      <c r="K71" s="46" t="s">
        <v>31</v>
      </c>
      <c r="L71" s="46" t="s">
        <v>31</v>
      </c>
      <c r="M71" s="46" t="s">
        <v>31</v>
      </c>
      <c r="N71" s="46"/>
      <c r="O71" s="375" t="s">
        <v>216</v>
      </c>
      <c r="P71" s="432">
        <v>0.56999999999999995</v>
      </c>
      <c r="Q71" s="46" t="s">
        <v>216</v>
      </c>
      <c r="R71" s="342">
        <f>P71</f>
        <v>0.56999999999999995</v>
      </c>
      <c r="S71" s="46"/>
      <c r="T71" s="46"/>
      <c r="U71" s="46"/>
    </row>
    <row r="72" spans="1:21">
      <c r="A72" s="362" t="s">
        <v>5</v>
      </c>
      <c r="B72" s="148" t="s">
        <v>1094</v>
      </c>
      <c r="C72" s="364"/>
      <c r="D72" s="345"/>
      <c r="E72" s="345"/>
      <c r="F72" s="345"/>
      <c r="G72" s="345"/>
      <c r="H72" s="345"/>
      <c r="I72" s="345"/>
      <c r="J72" s="345"/>
      <c r="K72" s="345"/>
      <c r="L72" s="345"/>
      <c r="M72" s="345"/>
      <c r="N72" s="46"/>
      <c r="O72" s="46"/>
      <c r="P72" s="46"/>
      <c r="Q72" s="46"/>
      <c r="R72" s="46"/>
      <c r="S72" s="46"/>
      <c r="T72" s="46"/>
      <c r="U72" s="46"/>
    </row>
    <row r="73" spans="1:21">
      <c r="A73" s="338" t="s">
        <v>7</v>
      </c>
      <c r="B73" s="46" t="s">
        <v>779</v>
      </c>
      <c r="C73" s="337"/>
      <c r="D73" s="46"/>
      <c r="E73" s="46"/>
      <c r="F73" s="46"/>
      <c r="G73" s="46"/>
      <c r="H73" s="46"/>
      <c r="I73" s="46"/>
      <c r="J73" s="46"/>
      <c r="K73" s="46"/>
      <c r="L73" s="46"/>
      <c r="M73" s="46"/>
      <c r="N73" s="46"/>
      <c r="O73" s="46"/>
      <c r="P73" s="46"/>
      <c r="Q73" s="46"/>
      <c r="R73" s="46"/>
      <c r="S73" s="46"/>
      <c r="T73" s="46"/>
      <c r="U73" s="46"/>
    </row>
    <row r="74" spans="1:21">
      <c r="A74" s="416" t="s">
        <v>9</v>
      </c>
      <c r="B74" s="46" t="s">
        <v>1096</v>
      </c>
      <c r="C74" s="337"/>
      <c r="D74" s="46"/>
      <c r="E74" s="46"/>
      <c r="F74" s="46"/>
      <c r="G74" s="46"/>
      <c r="H74" s="46"/>
      <c r="I74" s="46"/>
      <c r="J74" s="46"/>
      <c r="K74" s="46"/>
      <c r="L74" s="46"/>
      <c r="M74" s="46"/>
      <c r="N74" s="46"/>
      <c r="O74" s="46"/>
      <c r="P74" s="46"/>
      <c r="Q74" s="46"/>
      <c r="R74" s="46"/>
      <c r="S74" s="46"/>
      <c r="T74" s="46"/>
      <c r="U74" s="46"/>
    </row>
    <row r="75" spans="1:21" ht="15" customHeight="1">
      <c r="A75" s="338" t="s">
        <v>11</v>
      </c>
      <c r="B75" s="339" t="s">
        <v>789</v>
      </c>
      <c r="C75" s="46"/>
      <c r="D75" s="46"/>
      <c r="E75" s="46"/>
      <c r="F75" s="46"/>
      <c r="G75" s="46"/>
      <c r="H75" s="46"/>
      <c r="I75" s="46"/>
      <c r="J75" s="46"/>
      <c r="K75" s="46"/>
      <c r="L75" s="46"/>
      <c r="M75" s="46"/>
      <c r="N75" s="46"/>
      <c r="O75" s="46"/>
      <c r="P75" s="46"/>
      <c r="Q75" s="46"/>
      <c r="R75" s="46"/>
      <c r="S75" s="46"/>
      <c r="T75" s="46"/>
      <c r="U75" s="46"/>
    </row>
    <row r="76" spans="1:21">
      <c r="A76" s="338" t="s">
        <v>13</v>
      </c>
      <c r="B76" s="46" t="s">
        <v>14</v>
      </c>
      <c r="C76" s="46"/>
      <c r="D76" s="46"/>
      <c r="E76" s="46"/>
      <c r="F76" s="46"/>
      <c r="G76" s="46"/>
      <c r="H76" s="46"/>
      <c r="I76" s="46"/>
      <c r="J76" s="46"/>
      <c r="K76" s="46"/>
      <c r="L76" s="46"/>
      <c r="M76" s="46"/>
      <c r="N76" s="46"/>
      <c r="O76" s="46"/>
      <c r="P76" s="46"/>
      <c r="Q76" s="46"/>
      <c r="R76" s="46"/>
      <c r="S76" s="46"/>
      <c r="T76" s="46"/>
      <c r="U76" s="46"/>
    </row>
    <row r="77" spans="1:21">
      <c r="A77" s="338" t="s">
        <v>15</v>
      </c>
      <c r="B77" s="350">
        <f>B82</f>
        <v>0.09</v>
      </c>
      <c r="C77" s="46"/>
      <c r="D77" s="46"/>
      <c r="E77" s="46"/>
      <c r="F77" s="46"/>
      <c r="G77" s="46"/>
      <c r="H77" s="46"/>
      <c r="I77" s="46"/>
      <c r="J77" s="46"/>
      <c r="K77" s="46"/>
      <c r="L77" s="46"/>
      <c r="M77" s="46"/>
      <c r="N77" s="46"/>
      <c r="O77" s="46"/>
      <c r="P77" s="46"/>
      <c r="Q77" s="46"/>
      <c r="R77" s="46"/>
      <c r="S77" s="46"/>
      <c r="T77" s="46"/>
      <c r="U77" s="46"/>
    </row>
    <row r="78" spans="1:21">
      <c r="A78" s="338" t="s">
        <v>16</v>
      </c>
      <c r="B78" s="46" t="s">
        <v>17</v>
      </c>
      <c r="C78" s="46"/>
      <c r="D78" s="46"/>
      <c r="E78" s="46"/>
      <c r="F78" s="46"/>
      <c r="G78" s="46"/>
      <c r="H78" s="46"/>
      <c r="I78" s="46"/>
      <c r="J78" s="46"/>
      <c r="K78" s="46"/>
      <c r="L78" s="46"/>
      <c r="M78" s="46"/>
      <c r="N78" s="46"/>
      <c r="O78" s="46"/>
      <c r="P78" s="46"/>
      <c r="Q78" s="46"/>
      <c r="R78" s="46"/>
      <c r="S78" s="46"/>
      <c r="T78" s="46"/>
      <c r="U78" s="46"/>
    </row>
    <row r="79" spans="1:21">
      <c r="A79" s="338" t="s">
        <v>18</v>
      </c>
      <c r="B79" s="46" t="s">
        <v>37</v>
      </c>
      <c r="C79" s="46"/>
      <c r="D79" s="46"/>
      <c r="E79" s="46"/>
      <c r="F79" s="46"/>
      <c r="G79" s="46"/>
      <c r="H79" s="46"/>
      <c r="I79" s="46"/>
      <c r="J79" s="46"/>
      <c r="K79" s="46"/>
      <c r="L79" s="46"/>
      <c r="M79" s="46"/>
      <c r="N79" s="46"/>
      <c r="O79" s="46"/>
      <c r="P79" s="46"/>
      <c r="Q79" s="46"/>
      <c r="R79" s="46"/>
      <c r="S79" s="46"/>
      <c r="T79" s="46"/>
      <c r="U79" s="46"/>
    </row>
    <row r="80" spans="1:21">
      <c r="A80" s="335" t="s">
        <v>19</v>
      </c>
      <c r="B80" s="46"/>
      <c r="C80" s="46"/>
      <c r="D80" s="46"/>
      <c r="E80" s="46"/>
      <c r="F80" s="46"/>
      <c r="G80" s="46"/>
      <c r="H80" s="46"/>
      <c r="I80" s="46"/>
      <c r="J80" s="46"/>
      <c r="K80" s="46"/>
      <c r="L80" s="46"/>
      <c r="M80" s="46"/>
      <c r="N80" s="46"/>
      <c r="O80" s="46"/>
      <c r="P80" s="46"/>
      <c r="Q80" s="46"/>
      <c r="R80" s="46"/>
      <c r="S80" s="46"/>
      <c r="T80" s="46"/>
      <c r="U80" s="46"/>
    </row>
    <row r="81" spans="1:21">
      <c r="A81" s="335" t="s">
        <v>20</v>
      </c>
      <c r="B81" s="336" t="s">
        <v>21</v>
      </c>
      <c r="C81" s="336" t="s">
        <v>18</v>
      </c>
      <c r="D81" s="336" t="s">
        <v>22</v>
      </c>
      <c r="E81" s="336" t="s">
        <v>7</v>
      </c>
      <c r="F81" s="336" t="s">
        <v>13</v>
      </c>
      <c r="G81" s="336" t="s">
        <v>16</v>
      </c>
      <c r="H81" s="336" t="s">
        <v>23</v>
      </c>
      <c r="I81" s="336" t="s">
        <v>24</v>
      </c>
      <c r="J81" s="336" t="s">
        <v>25</v>
      </c>
      <c r="K81" s="336" t="s">
        <v>26</v>
      </c>
      <c r="L81" s="336" t="s">
        <v>27</v>
      </c>
      <c r="M81" s="336" t="s">
        <v>28</v>
      </c>
      <c r="N81" s="336" t="s">
        <v>11</v>
      </c>
      <c r="O81" s="46"/>
      <c r="P81" s="46"/>
      <c r="Q81" s="46"/>
      <c r="R81" s="46"/>
      <c r="S81" s="46"/>
      <c r="T81" s="46"/>
      <c r="U81" s="46"/>
    </row>
    <row r="82" spans="1:21">
      <c r="A82" s="47" t="s">
        <v>1094</v>
      </c>
      <c r="B82" s="46">
        <v>0.09</v>
      </c>
      <c r="C82" s="46" t="s">
        <v>37</v>
      </c>
      <c r="D82" s="400" t="s">
        <v>2</v>
      </c>
      <c r="E82" s="46" t="s">
        <v>29</v>
      </c>
      <c r="F82" s="32" t="s">
        <v>14</v>
      </c>
      <c r="G82" s="46" t="s">
        <v>30</v>
      </c>
      <c r="H82" s="46">
        <v>1</v>
      </c>
      <c r="I82" s="46">
        <f>B82</f>
        <v>0.09</v>
      </c>
      <c r="J82" s="46" t="s">
        <v>31</v>
      </c>
      <c r="K82" s="46" t="s">
        <v>31</v>
      </c>
      <c r="L82" s="46" t="s">
        <v>31</v>
      </c>
      <c r="M82" s="46" t="s">
        <v>31</v>
      </c>
      <c r="N82" s="46"/>
      <c r="O82" s="375"/>
      <c r="P82" s="386"/>
      <c r="Q82" s="46" t="s">
        <v>221</v>
      </c>
      <c r="R82" s="384">
        <v>0.01</v>
      </c>
      <c r="S82" s="46"/>
      <c r="T82" s="46"/>
      <c r="U82" s="46"/>
    </row>
    <row r="83" spans="1:21">
      <c r="A83" s="47" t="s">
        <v>655</v>
      </c>
      <c r="B83" s="46">
        <v>0.09</v>
      </c>
      <c r="C83" s="46" t="s">
        <v>37</v>
      </c>
      <c r="D83" s="46" t="s">
        <v>40</v>
      </c>
      <c r="E83" s="46" t="s">
        <v>29</v>
      </c>
      <c r="F83" s="32" t="s">
        <v>58</v>
      </c>
      <c r="G83" s="46" t="s">
        <v>33</v>
      </c>
      <c r="H83" s="46">
        <v>1</v>
      </c>
      <c r="I83" s="46">
        <f>B83</f>
        <v>0.09</v>
      </c>
      <c r="J83" s="46" t="s">
        <v>31</v>
      </c>
      <c r="K83" s="46" t="s">
        <v>31</v>
      </c>
      <c r="L83" s="46" t="s">
        <v>31</v>
      </c>
      <c r="M83" s="46" t="s">
        <v>31</v>
      </c>
      <c r="N83" s="46"/>
      <c r="O83" s="375"/>
      <c r="P83" s="432"/>
      <c r="Q83" s="46"/>
      <c r="R83" s="342"/>
      <c r="S83" s="46"/>
      <c r="T83" s="46"/>
      <c r="U83" s="46"/>
    </row>
    <row r="84" spans="1:21">
      <c r="A84" s="47" t="s">
        <v>708</v>
      </c>
      <c r="B84" s="46">
        <v>0.09</v>
      </c>
      <c r="C84" s="46" t="s">
        <v>37</v>
      </c>
      <c r="D84" s="46" t="s">
        <v>40</v>
      </c>
      <c r="E84" s="46" t="s">
        <v>29</v>
      </c>
      <c r="F84" s="46" t="s">
        <v>58</v>
      </c>
      <c r="G84" s="46" t="s">
        <v>33</v>
      </c>
      <c r="H84" s="46">
        <v>1</v>
      </c>
      <c r="I84" s="46">
        <f>B84</f>
        <v>0.09</v>
      </c>
      <c r="J84" s="46" t="s">
        <v>31</v>
      </c>
      <c r="K84" s="46" t="s">
        <v>31</v>
      </c>
      <c r="L84" s="46" t="s">
        <v>31</v>
      </c>
      <c r="M84" s="46" t="s">
        <v>31</v>
      </c>
      <c r="N84" s="46"/>
      <c r="O84" s="46"/>
      <c r="P84" s="46"/>
      <c r="Q84" s="46"/>
      <c r="R84" s="46"/>
      <c r="S84" s="46"/>
      <c r="T84" s="46"/>
      <c r="U84" s="46"/>
    </row>
    <row r="85" spans="1:21" s="41" customFormat="1">
      <c r="A85" s="362" t="s">
        <v>5</v>
      </c>
      <c r="B85" s="148" t="s">
        <v>1095</v>
      </c>
      <c r="C85" s="364"/>
      <c r="D85" s="345"/>
      <c r="E85" s="345"/>
      <c r="F85" s="345"/>
      <c r="G85" s="345"/>
      <c r="H85" s="345"/>
      <c r="I85" s="345"/>
      <c r="J85" s="345"/>
      <c r="K85" s="345"/>
      <c r="L85" s="345"/>
      <c r="M85" s="345"/>
      <c r="N85" s="345"/>
      <c r="O85" s="345"/>
      <c r="P85" s="345"/>
      <c r="Q85" s="345"/>
      <c r="R85" s="345"/>
      <c r="S85" s="345"/>
      <c r="T85" s="345"/>
      <c r="U85" s="345"/>
    </row>
    <row r="86" spans="1:21">
      <c r="A86" s="338" t="s">
        <v>7</v>
      </c>
      <c r="B86" s="46" t="s">
        <v>779</v>
      </c>
      <c r="C86" s="337"/>
      <c r="D86" s="46"/>
      <c r="E86" s="46"/>
      <c r="F86" s="46"/>
      <c r="G86" s="46"/>
      <c r="H86" s="46"/>
      <c r="I86" s="46"/>
      <c r="J86" s="46"/>
      <c r="K86" s="46"/>
      <c r="L86" s="46"/>
      <c r="M86" s="46"/>
      <c r="N86" s="46"/>
      <c r="O86" s="46"/>
      <c r="P86" s="46"/>
      <c r="Q86" s="46"/>
      <c r="R86" s="46"/>
      <c r="S86" s="46"/>
      <c r="T86" s="46"/>
      <c r="U86" s="46"/>
    </row>
    <row r="87" spans="1:21">
      <c r="A87" s="416" t="s">
        <v>9</v>
      </c>
      <c r="B87" s="46" t="s">
        <v>1097</v>
      </c>
      <c r="C87" s="337"/>
      <c r="D87" s="46"/>
      <c r="E87" s="46"/>
      <c r="F87" s="46"/>
      <c r="G87" s="46"/>
      <c r="H87" s="46"/>
      <c r="I87" s="46"/>
      <c r="J87" s="46"/>
      <c r="K87" s="46"/>
      <c r="L87" s="46"/>
      <c r="M87" s="46"/>
      <c r="N87" s="46"/>
      <c r="O87" s="46"/>
      <c r="P87" s="46"/>
      <c r="Q87" s="46"/>
      <c r="R87" s="46"/>
      <c r="S87" s="46"/>
      <c r="T87" s="46"/>
      <c r="U87" s="46"/>
    </row>
    <row r="88" spans="1:21" ht="15.75" customHeight="1">
      <c r="A88" s="338" t="s">
        <v>11</v>
      </c>
      <c r="B88" s="339" t="s">
        <v>789</v>
      </c>
      <c r="C88" s="46"/>
      <c r="D88" s="46"/>
      <c r="E88" s="46"/>
      <c r="F88" s="46"/>
      <c r="G88" s="46"/>
      <c r="H88" s="46"/>
      <c r="I88" s="46"/>
      <c r="J88" s="46"/>
      <c r="K88" s="46"/>
      <c r="L88" s="46"/>
      <c r="M88" s="46"/>
      <c r="N88" s="46"/>
      <c r="O88" s="46"/>
      <c r="P88" s="46"/>
      <c r="Q88" s="46"/>
      <c r="R88" s="46"/>
      <c r="S88" s="46"/>
      <c r="T88" s="46"/>
      <c r="U88" s="46"/>
    </row>
    <row r="89" spans="1:21">
      <c r="A89" s="338" t="s">
        <v>13</v>
      </c>
      <c r="B89" s="46" t="s">
        <v>14</v>
      </c>
      <c r="C89" s="46"/>
      <c r="D89" s="46"/>
      <c r="E89" s="46"/>
      <c r="F89" s="46"/>
      <c r="G89" s="46"/>
      <c r="H89" s="46"/>
      <c r="I89" s="46"/>
      <c r="J89" s="46"/>
      <c r="K89" s="46"/>
      <c r="L89" s="46"/>
      <c r="M89" s="46"/>
      <c r="N89" s="46"/>
      <c r="O89" s="46"/>
      <c r="P89" s="46"/>
      <c r="Q89" s="46"/>
      <c r="R89" s="46"/>
      <c r="S89" s="46"/>
      <c r="T89" s="46"/>
      <c r="U89" s="46"/>
    </row>
    <row r="90" spans="1:21">
      <c r="A90" s="338" t="s">
        <v>15</v>
      </c>
      <c r="B90" s="46">
        <v>1</v>
      </c>
      <c r="C90" s="46"/>
      <c r="D90" s="46"/>
      <c r="E90" s="46"/>
      <c r="F90" s="46"/>
      <c r="G90" s="46"/>
      <c r="H90" s="46"/>
      <c r="I90" s="46"/>
      <c r="J90" s="46"/>
      <c r="K90" s="46"/>
      <c r="L90" s="46"/>
      <c r="M90" s="46"/>
      <c r="N90" s="46"/>
      <c r="O90" s="46"/>
      <c r="P90" s="46"/>
      <c r="Q90" s="46"/>
      <c r="R90" s="46"/>
      <c r="S90" s="46"/>
      <c r="T90" s="46"/>
      <c r="U90" s="46"/>
    </row>
    <row r="91" spans="1:21">
      <c r="A91" s="338" t="s">
        <v>16</v>
      </c>
      <c r="B91" s="46" t="s">
        <v>17</v>
      </c>
      <c r="C91" s="46"/>
      <c r="D91" s="46"/>
      <c r="E91" s="46"/>
      <c r="F91" s="46"/>
      <c r="G91" s="46"/>
      <c r="H91" s="46"/>
      <c r="I91" s="46"/>
      <c r="J91" s="46"/>
      <c r="K91" s="46"/>
      <c r="L91" s="46"/>
      <c r="M91" s="46"/>
      <c r="N91" s="46"/>
      <c r="O91" s="46"/>
      <c r="P91" s="46"/>
      <c r="Q91" s="46"/>
      <c r="R91" s="46"/>
      <c r="S91" s="46"/>
      <c r="T91" s="46"/>
      <c r="U91" s="46"/>
    </row>
    <row r="92" spans="1:21">
      <c r="A92" s="338" t="s">
        <v>18</v>
      </c>
      <c r="B92" s="46" t="s">
        <v>18</v>
      </c>
      <c r="C92" s="46"/>
      <c r="D92" s="46"/>
      <c r="E92" s="46"/>
      <c r="F92" s="46"/>
      <c r="G92" s="46"/>
      <c r="H92" s="46"/>
      <c r="I92" s="46"/>
      <c r="J92" s="46"/>
      <c r="K92" s="46"/>
      <c r="L92" s="46"/>
      <c r="M92" s="46"/>
      <c r="N92" s="46"/>
      <c r="O92" s="46"/>
      <c r="P92" s="46"/>
      <c r="Q92" s="46"/>
      <c r="R92" s="46"/>
      <c r="S92" s="46"/>
      <c r="T92" s="46"/>
      <c r="U92" s="46"/>
    </row>
    <row r="93" spans="1:21">
      <c r="A93" s="335" t="s">
        <v>19</v>
      </c>
      <c r="B93" s="46"/>
      <c r="C93" s="46"/>
      <c r="D93" s="46"/>
      <c r="E93" s="46"/>
      <c r="F93" s="46"/>
      <c r="G93" s="46"/>
      <c r="H93" s="46"/>
      <c r="I93" s="46"/>
      <c r="J93" s="46"/>
      <c r="K93" s="46"/>
      <c r="L93" s="46"/>
      <c r="M93" s="46"/>
      <c r="N93" s="46"/>
      <c r="O93" s="46"/>
      <c r="P93" s="46"/>
      <c r="Q93" s="46"/>
      <c r="R93" s="46"/>
      <c r="S93" s="46"/>
      <c r="T93" s="46"/>
      <c r="U93" s="46"/>
    </row>
    <row r="94" spans="1:21">
      <c r="A94" s="335" t="s">
        <v>20</v>
      </c>
      <c r="B94" s="336" t="s">
        <v>21</v>
      </c>
      <c r="C94" s="336" t="s">
        <v>18</v>
      </c>
      <c r="D94" s="336" t="s">
        <v>22</v>
      </c>
      <c r="E94" s="336" t="s">
        <v>7</v>
      </c>
      <c r="F94" s="336" t="s">
        <v>13</v>
      </c>
      <c r="G94" s="336" t="s">
        <v>16</v>
      </c>
      <c r="H94" s="336" t="s">
        <v>23</v>
      </c>
      <c r="I94" s="336" t="s">
        <v>24</v>
      </c>
      <c r="J94" s="336" t="s">
        <v>25</v>
      </c>
      <c r="K94" s="336" t="s">
        <v>26</v>
      </c>
      <c r="L94" s="336" t="s">
        <v>27</v>
      </c>
      <c r="M94" s="336" t="s">
        <v>28</v>
      </c>
      <c r="N94" s="336" t="s">
        <v>11</v>
      </c>
      <c r="O94" s="46"/>
      <c r="P94" s="46"/>
      <c r="Q94" s="46"/>
      <c r="R94" s="46"/>
      <c r="S94" s="46"/>
      <c r="T94" s="46"/>
      <c r="U94" s="46"/>
    </row>
    <row r="95" spans="1:21">
      <c r="A95" s="47" t="s">
        <v>1095</v>
      </c>
      <c r="B95" s="342">
        <v>1</v>
      </c>
      <c r="C95" s="46" t="s">
        <v>18</v>
      </c>
      <c r="D95" s="400" t="s">
        <v>2</v>
      </c>
      <c r="E95" s="46" t="s">
        <v>29</v>
      </c>
      <c r="F95" s="32" t="s">
        <v>14</v>
      </c>
      <c r="G95" s="46" t="s">
        <v>30</v>
      </c>
      <c r="H95" s="46">
        <v>1</v>
      </c>
      <c r="I95" s="46">
        <f>B95</f>
        <v>1</v>
      </c>
      <c r="J95" s="46" t="s">
        <v>31</v>
      </c>
      <c r="K95" s="46" t="s">
        <v>31</v>
      </c>
      <c r="L95" s="46" t="s">
        <v>31</v>
      </c>
      <c r="M95" s="46" t="s">
        <v>31</v>
      </c>
      <c r="N95" s="46"/>
      <c r="O95" s="375"/>
      <c r="P95" s="432"/>
      <c r="Q95" s="46"/>
      <c r="R95" s="342"/>
      <c r="S95" s="46"/>
      <c r="T95" s="46"/>
      <c r="U95" s="46"/>
    </row>
    <row r="96" spans="1:21">
      <c r="A96" s="47" t="s">
        <v>1098</v>
      </c>
      <c r="B96" s="46">
        <v>1</v>
      </c>
      <c r="C96" s="46" t="s">
        <v>18</v>
      </c>
      <c r="D96" s="400" t="s">
        <v>2</v>
      </c>
      <c r="E96" s="46" t="s">
        <v>29</v>
      </c>
      <c r="F96" s="32" t="s">
        <v>14</v>
      </c>
      <c r="G96" s="46" t="s">
        <v>33</v>
      </c>
      <c r="H96" s="46">
        <v>1</v>
      </c>
      <c r="I96" s="46">
        <f>B96</f>
        <v>1</v>
      </c>
      <c r="J96" s="46" t="s">
        <v>31</v>
      </c>
      <c r="K96" s="46" t="s">
        <v>31</v>
      </c>
      <c r="L96" s="46" t="s">
        <v>31</v>
      </c>
      <c r="M96" s="46" t="s">
        <v>31</v>
      </c>
      <c r="N96" s="46"/>
      <c r="O96" s="375"/>
      <c r="P96" s="432"/>
      <c r="Q96" s="46"/>
      <c r="R96" s="46"/>
      <c r="S96" s="46"/>
      <c r="T96" s="46"/>
      <c r="U96" s="46"/>
    </row>
    <row r="97" spans="1:21">
      <c r="A97" s="338" t="s">
        <v>75</v>
      </c>
      <c r="B97" s="342">
        <f>R97</f>
        <v>0.05</v>
      </c>
      <c r="C97" s="46" t="s">
        <v>39</v>
      </c>
      <c r="D97" s="46" t="s">
        <v>40</v>
      </c>
      <c r="E97" s="46" t="s">
        <v>29</v>
      </c>
      <c r="F97" s="32" t="s">
        <v>35</v>
      </c>
      <c r="G97" s="46" t="s">
        <v>33</v>
      </c>
      <c r="H97" s="46">
        <v>2</v>
      </c>
      <c r="I97" s="46">
        <f t="shared" ref="I97" si="4">LN(B97)</f>
        <v>-2.9957322735539909</v>
      </c>
      <c r="J97" s="46">
        <v>7.2284161474004766E-2</v>
      </c>
      <c r="K97" s="46" t="s">
        <v>31</v>
      </c>
      <c r="L97" s="46" t="s">
        <v>31</v>
      </c>
      <c r="M97" s="46" t="s">
        <v>31</v>
      </c>
      <c r="N97" s="46"/>
      <c r="O97" s="375" t="s">
        <v>216</v>
      </c>
      <c r="P97" s="432">
        <v>0.05</v>
      </c>
      <c r="Q97" s="46" t="s">
        <v>216</v>
      </c>
      <c r="R97" s="342">
        <f>P97</f>
        <v>0.05</v>
      </c>
      <c r="S97" s="46"/>
      <c r="T97" s="46"/>
      <c r="U97" s="46"/>
    </row>
    <row r="98" spans="1:21" s="41" customFormat="1">
      <c r="A98" s="362" t="s">
        <v>5</v>
      </c>
      <c r="B98" s="148" t="s">
        <v>1098</v>
      </c>
      <c r="C98" s="364"/>
      <c r="D98" s="345"/>
      <c r="E98" s="345"/>
      <c r="F98" s="345"/>
      <c r="G98" s="345"/>
      <c r="H98" s="345"/>
      <c r="I98" s="345"/>
      <c r="J98" s="345"/>
      <c r="K98" s="345"/>
      <c r="L98" s="345"/>
      <c r="M98" s="345"/>
      <c r="N98" s="345"/>
      <c r="O98" s="345"/>
      <c r="P98" s="345"/>
      <c r="Q98" s="345"/>
      <c r="R98" s="345"/>
      <c r="S98" s="345"/>
      <c r="T98" s="345"/>
      <c r="U98" s="345"/>
    </row>
    <row r="99" spans="1:21">
      <c r="A99" s="338" t="s">
        <v>7</v>
      </c>
      <c r="B99" s="46" t="s">
        <v>779</v>
      </c>
      <c r="C99" s="337"/>
      <c r="D99" s="46"/>
      <c r="E99" s="46"/>
      <c r="F99" s="46"/>
      <c r="G99" s="46"/>
      <c r="H99" s="46"/>
      <c r="I99" s="46"/>
      <c r="J99" s="46"/>
      <c r="K99" s="46"/>
      <c r="L99" s="46"/>
      <c r="M99" s="46"/>
      <c r="N99" s="46"/>
      <c r="O99" s="46"/>
      <c r="P99" s="46"/>
      <c r="Q99" s="46"/>
      <c r="R99" s="46"/>
      <c r="S99" s="46"/>
      <c r="T99" s="46"/>
      <c r="U99" s="46"/>
    </row>
    <row r="100" spans="1:21">
      <c r="A100" s="416" t="s">
        <v>9</v>
      </c>
      <c r="B100" s="46" t="s">
        <v>1099</v>
      </c>
      <c r="C100" s="337"/>
      <c r="D100" s="46"/>
      <c r="E100" s="46"/>
      <c r="F100" s="46"/>
      <c r="G100" s="46"/>
      <c r="H100" s="46"/>
      <c r="I100" s="46"/>
      <c r="J100" s="46"/>
      <c r="K100" s="46"/>
      <c r="L100" s="46"/>
      <c r="M100" s="46"/>
      <c r="N100" s="46"/>
      <c r="O100" s="46"/>
      <c r="P100" s="46"/>
      <c r="Q100" s="46"/>
      <c r="R100" s="46"/>
      <c r="S100" s="46"/>
      <c r="T100" s="46"/>
      <c r="U100" s="46"/>
    </row>
    <row r="101" spans="1:21" ht="15.75" customHeight="1">
      <c r="A101" s="338" t="s">
        <v>11</v>
      </c>
      <c r="B101" s="339" t="s">
        <v>789</v>
      </c>
      <c r="C101" s="46"/>
      <c r="D101" s="46"/>
      <c r="E101" s="46"/>
      <c r="F101" s="46"/>
      <c r="G101" s="46"/>
      <c r="H101" s="46"/>
      <c r="I101" s="46"/>
      <c r="J101" s="46"/>
      <c r="K101" s="46"/>
      <c r="L101" s="46"/>
      <c r="M101" s="46"/>
      <c r="N101" s="46"/>
      <c r="O101" s="46"/>
      <c r="P101" s="46"/>
      <c r="Q101" s="46"/>
      <c r="R101" s="46"/>
      <c r="S101" s="46"/>
      <c r="T101" s="46"/>
      <c r="U101" s="46"/>
    </row>
    <row r="102" spans="1:21">
      <c r="A102" s="338" t="s">
        <v>13</v>
      </c>
      <c r="B102" s="46" t="s">
        <v>14</v>
      </c>
      <c r="C102" s="46"/>
      <c r="D102" s="46"/>
      <c r="E102" s="46"/>
      <c r="F102" s="46"/>
      <c r="G102" s="46"/>
      <c r="H102" s="46"/>
      <c r="I102" s="46"/>
      <c r="J102" s="46"/>
      <c r="K102" s="46"/>
      <c r="L102" s="46"/>
      <c r="M102" s="46"/>
      <c r="N102" s="46"/>
      <c r="O102" s="46"/>
      <c r="P102" s="46"/>
      <c r="Q102" s="46"/>
      <c r="R102" s="46"/>
      <c r="S102" s="46"/>
      <c r="T102" s="46"/>
      <c r="U102" s="46"/>
    </row>
    <row r="103" spans="1:21">
      <c r="A103" s="338" t="s">
        <v>15</v>
      </c>
      <c r="B103" s="46">
        <v>1</v>
      </c>
      <c r="C103" s="46"/>
      <c r="D103" s="46"/>
      <c r="E103" s="46"/>
      <c r="F103" s="46"/>
      <c r="G103" s="46"/>
      <c r="H103" s="46"/>
      <c r="I103" s="46"/>
      <c r="J103" s="46"/>
      <c r="K103" s="46"/>
      <c r="L103" s="46"/>
      <c r="M103" s="46"/>
      <c r="N103" s="46"/>
      <c r="O103" s="46"/>
      <c r="P103" s="46"/>
      <c r="Q103" s="46"/>
      <c r="R103" s="46"/>
      <c r="S103" s="46"/>
      <c r="T103" s="46"/>
      <c r="U103" s="46"/>
    </row>
    <row r="104" spans="1:21">
      <c r="A104" s="338" t="s">
        <v>16</v>
      </c>
      <c r="B104" s="46" t="s">
        <v>17</v>
      </c>
      <c r="C104" s="46"/>
      <c r="D104" s="46"/>
      <c r="E104" s="46"/>
      <c r="F104" s="46"/>
      <c r="G104" s="46"/>
      <c r="H104" s="46"/>
      <c r="I104" s="46"/>
      <c r="J104" s="46"/>
      <c r="K104" s="46"/>
      <c r="L104" s="46"/>
      <c r="M104" s="46"/>
      <c r="N104" s="46"/>
      <c r="O104" s="46"/>
      <c r="P104" s="46"/>
      <c r="Q104" s="46"/>
      <c r="R104" s="46"/>
      <c r="S104" s="46"/>
      <c r="T104" s="46"/>
      <c r="U104" s="46"/>
    </row>
    <row r="105" spans="1:21">
      <c r="A105" s="338" t="s">
        <v>18</v>
      </c>
      <c r="B105" s="46" t="s">
        <v>18</v>
      </c>
      <c r="C105" s="46"/>
      <c r="D105" s="46"/>
      <c r="E105" s="46"/>
      <c r="F105" s="46"/>
      <c r="G105" s="46"/>
      <c r="H105" s="46"/>
      <c r="I105" s="46"/>
      <c r="J105" s="46"/>
      <c r="K105" s="46"/>
      <c r="L105" s="46"/>
      <c r="M105" s="46"/>
      <c r="N105" s="46"/>
      <c r="O105" s="46"/>
      <c r="P105" s="46"/>
      <c r="Q105" s="46"/>
      <c r="R105" s="46"/>
      <c r="S105" s="46"/>
      <c r="T105" s="46"/>
      <c r="U105" s="46"/>
    </row>
    <row r="106" spans="1:21">
      <c r="A106" s="335" t="s">
        <v>19</v>
      </c>
      <c r="B106" s="46"/>
      <c r="C106" s="46"/>
      <c r="D106" s="46"/>
      <c r="E106" s="46"/>
      <c r="F106" s="46"/>
      <c r="G106" s="46"/>
      <c r="H106" s="46"/>
      <c r="I106" s="46"/>
      <c r="J106" s="46"/>
      <c r="K106" s="46"/>
      <c r="L106" s="46"/>
      <c r="M106" s="46"/>
      <c r="N106" s="46"/>
      <c r="O106" s="46"/>
      <c r="P106" s="46"/>
      <c r="Q106" s="46"/>
      <c r="R106" s="46"/>
      <c r="S106" s="46"/>
      <c r="T106" s="46"/>
      <c r="U106" s="46"/>
    </row>
    <row r="107" spans="1:21">
      <c r="A107" s="335" t="s">
        <v>20</v>
      </c>
      <c r="B107" s="336" t="s">
        <v>21</v>
      </c>
      <c r="C107" s="336" t="s">
        <v>18</v>
      </c>
      <c r="D107" s="336" t="s">
        <v>22</v>
      </c>
      <c r="E107" s="336" t="s">
        <v>7</v>
      </c>
      <c r="F107" s="336" t="s">
        <v>13</v>
      </c>
      <c r="G107" s="336" t="s">
        <v>16</v>
      </c>
      <c r="H107" s="336" t="s">
        <v>23</v>
      </c>
      <c r="I107" s="336" t="s">
        <v>24</v>
      </c>
      <c r="J107" s="336" t="s">
        <v>25</v>
      </c>
      <c r="K107" s="336" t="s">
        <v>26</v>
      </c>
      <c r="L107" s="336" t="s">
        <v>27</v>
      </c>
      <c r="M107" s="336" t="s">
        <v>28</v>
      </c>
      <c r="N107" s="336" t="s">
        <v>11</v>
      </c>
      <c r="O107" s="46"/>
      <c r="P107" s="46"/>
      <c r="Q107" s="46"/>
      <c r="R107" s="46"/>
      <c r="S107" s="46"/>
      <c r="T107" s="46"/>
      <c r="U107" s="46"/>
    </row>
    <row r="108" spans="1:21">
      <c r="A108" s="47" t="s">
        <v>1098</v>
      </c>
      <c r="B108" s="46">
        <v>1</v>
      </c>
      <c r="C108" s="46" t="s">
        <v>18</v>
      </c>
      <c r="D108" s="46" t="s">
        <v>2</v>
      </c>
      <c r="E108" s="46" t="s">
        <v>29</v>
      </c>
      <c r="F108" s="32" t="s">
        <v>14</v>
      </c>
      <c r="G108" s="46" t="s">
        <v>30</v>
      </c>
      <c r="H108" s="46">
        <v>1</v>
      </c>
      <c r="I108" s="46">
        <f>B108</f>
        <v>1</v>
      </c>
      <c r="J108" s="46" t="s">
        <v>31</v>
      </c>
      <c r="K108" s="46" t="s">
        <v>31</v>
      </c>
      <c r="L108" s="46" t="s">
        <v>31</v>
      </c>
      <c r="M108" s="46" t="s">
        <v>31</v>
      </c>
      <c r="N108" s="46"/>
      <c r="O108" s="46"/>
      <c r="P108" s="460"/>
      <c r="Q108" s="46"/>
      <c r="R108" s="46"/>
      <c r="S108" s="46"/>
      <c r="T108" s="46"/>
      <c r="U108" s="46"/>
    </row>
    <row r="109" spans="1:21">
      <c r="A109" s="338" t="s">
        <v>1100</v>
      </c>
      <c r="B109" s="433">
        <f>B133</f>
        <v>0.1</v>
      </c>
      <c r="C109" s="46" t="s">
        <v>113</v>
      </c>
      <c r="D109" s="46" t="s">
        <v>2</v>
      </c>
      <c r="E109" s="46" t="s">
        <v>29</v>
      </c>
      <c r="F109" s="32" t="s">
        <v>14</v>
      </c>
      <c r="G109" s="46" t="s">
        <v>33</v>
      </c>
      <c r="H109" s="46">
        <v>1</v>
      </c>
      <c r="I109" s="46">
        <f>B109</f>
        <v>0.1</v>
      </c>
      <c r="J109" s="46" t="s">
        <v>31</v>
      </c>
      <c r="K109" s="46" t="s">
        <v>31</v>
      </c>
      <c r="L109" s="46" t="s">
        <v>31</v>
      </c>
      <c r="M109" s="46" t="s">
        <v>31</v>
      </c>
      <c r="N109" s="46"/>
      <c r="O109" s="401"/>
      <c r="P109" s="402"/>
      <c r="Q109" s="342" t="s">
        <v>1101</v>
      </c>
      <c r="R109" s="46"/>
      <c r="S109" s="46"/>
      <c r="T109" s="46"/>
      <c r="U109" s="46"/>
    </row>
    <row r="110" spans="1:21">
      <c r="A110" s="46" t="s">
        <v>1057</v>
      </c>
      <c r="B110" s="384">
        <f>S110</f>
        <v>3.6250000000000004E-2</v>
      </c>
      <c r="C110" s="373" t="s">
        <v>113</v>
      </c>
      <c r="D110" s="46" t="s">
        <v>2</v>
      </c>
      <c r="E110" s="46" t="s">
        <v>29</v>
      </c>
      <c r="F110" s="32" t="s">
        <v>14</v>
      </c>
      <c r="G110" s="46" t="s">
        <v>33</v>
      </c>
      <c r="H110" s="46">
        <v>1</v>
      </c>
      <c r="I110" s="46">
        <f>B110</f>
        <v>3.6250000000000004E-2</v>
      </c>
      <c r="J110" s="46" t="s">
        <v>31</v>
      </c>
      <c r="K110" s="46" t="s">
        <v>31</v>
      </c>
      <c r="L110" s="46" t="s">
        <v>31</v>
      </c>
      <c r="M110" s="46" t="s">
        <v>31</v>
      </c>
      <c r="N110" s="46"/>
      <c r="O110" s="434" t="s">
        <v>575</v>
      </c>
      <c r="P110" s="435">
        <v>203</v>
      </c>
      <c r="Q110" s="46">
        <f>0.05/0.28</f>
        <v>0.17857142857142858</v>
      </c>
      <c r="R110" s="46" t="s">
        <v>832</v>
      </c>
      <c r="S110" s="384">
        <f>P110*0.001*Q110</f>
        <v>3.6250000000000004E-2</v>
      </c>
      <c r="T110" s="46"/>
      <c r="U110" s="46"/>
    </row>
    <row r="111" spans="1:21">
      <c r="A111" s="46" t="s">
        <v>1102</v>
      </c>
      <c r="B111" s="46">
        <v>1</v>
      </c>
      <c r="C111" s="46" t="s">
        <v>18</v>
      </c>
      <c r="D111" s="46" t="s">
        <v>2</v>
      </c>
      <c r="E111" s="46" t="s">
        <v>29</v>
      </c>
      <c r="F111" s="32" t="s">
        <v>14</v>
      </c>
      <c r="G111" s="46" t="s">
        <v>33</v>
      </c>
      <c r="H111" s="46">
        <v>1</v>
      </c>
      <c r="I111" s="46">
        <f>B111</f>
        <v>1</v>
      </c>
      <c r="J111" s="46" t="s">
        <v>31</v>
      </c>
      <c r="K111" s="46" t="s">
        <v>31</v>
      </c>
      <c r="L111" s="46" t="s">
        <v>31</v>
      </c>
      <c r="M111" s="46" t="s">
        <v>31</v>
      </c>
      <c r="N111" s="46"/>
      <c r="O111" s="401"/>
      <c r="P111" s="402"/>
      <c r="Q111" s="46"/>
      <c r="R111" s="46"/>
      <c r="S111" s="46"/>
      <c r="T111" s="46"/>
      <c r="U111" s="46"/>
    </row>
    <row r="112" spans="1:21">
      <c r="A112" s="47" t="s">
        <v>601</v>
      </c>
      <c r="B112" s="384">
        <f>R112</f>
        <v>2.4000000000000001E-4</v>
      </c>
      <c r="C112" s="46" t="s">
        <v>37</v>
      </c>
      <c r="D112" s="46" t="s">
        <v>40</v>
      </c>
      <c r="E112" s="46" t="s">
        <v>29</v>
      </c>
      <c r="F112" s="32" t="s">
        <v>35</v>
      </c>
      <c r="G112" s="46" t="s">
        <v>33</v>
      </c>
      <c r="H112" s="46">
        <v>2</v>
      </c>
      <c r="I112" s="46">
        <f>LN(B112)</f>
        <v>-8.3348716346222833</v>
      </c>
      <c r="J112" s="46">
        <v>2.8722813232690055E-2</v>
      </c>
      <c r="K112" s="46" t="s">
        <v>31</v>
      </c>
      <c r="L112" s="46" t="s">
        <v>31</v>
      </c>
      <c r="M112" s="46" t="s">
        <v>31</v>
      </c>
      <c r="N112" s="46"/>
      <c r="O112" s="434" t="s">
        <v>575</v>
      </c>
      <c r="P112" s="175">
        <v>0.24</v>
      </c>
      <c r="Q112" s="46" t="s">
        <v>221</v>
      </c>
      <c r="R112" s="384">
        <f>P112*10^-3</f>
        <v>2.4000000000000001E-4</v>
      </c>
      <c r="S112" s="46"/>
      <c r="T112" s="46"/>
      <c r="U112" s="46"/>
    </row>
    <row r="113" spans="1:21" s="41" customFormat="1">
      <c r="A113" s="362" t="s">
        <v>5</v>
      </c>
      <c r="B113" s="363" t="s">
        <v>1102</v>
      </c>
      <c r="C113" s="364"/>
      <c r="D113" s="345"/>
      <c r="E113" s="345"/>
      <c r="F113" s="345"/>
      <c r="G113" s="345"/>
      <c r="H113" s="345"/>
      <c r="I113" s="345"/>
      <c r="J113" s="345"/>
      <c r="K113" s="345"/>
      <c r="L113" s="345"/>
      <c r="M113" s="345"/>
      <c r="N113" s="345"/>
      <c r="O113" s="345"/>
      <c r="P113" s="345"/>
      <c r="Q113" s="345"/>
      <c r="R113" s="345"/>
      <c r="S113" s="345"/>
      <c r="T113" s="345"/>
      <c r="U113" s="345"/>
    </row>
    <row r="114" spans="1:21">
      <c r="A114" s="338" t="s">
        <v>7</v>
      </c>
      <c r="B114" s="46" t="s">
        <v>779</v>
      </c>
      <c r="C114" s="337"/>
      <c r="D114" s="46"/>
      <c r="E114" s="46"/>
      <c r="F114" s="46"/>
      <c r="G114" s="46"/>
      <c r="H114" s="46"/>
      <c r="I114" s="46"/>
      <c r="J114" s="46"/>
      <c r="K114" s="46"/>
      <c r="L114" s="46"/>
      <c r="M114" s="46"/>
      <c r="N114" s="46"/>
      <c r="O114" s="46"/>
      <c r="P114" s="46"/>
      <c r="Q114" s="46"/>
      <c r="R114" s="46"/>
      <c r="S114" s="46"/>
      <c r="T114" s="46"/>
      <c r="U114" s="46"/>
    </row>
    <row r="115" spans="1:21">
      <c r="A115" s="416" t="s">
        <v>9</v>
      </c>
      <c r="B115" s="46" t="s">
        <v>1103</v>
      </c>
      <c r="C115" s="337"/>
      <c r="D115" s="46"/>
      <c r="E115" s="46"/>
      <c r="F115" s="46"/>
      <c r="G115" s="46"/>
      <c r="H115" s="46"/>
      <c r="I115" s="46"/>
      <c r="J115" s="46"/>
      <c r="K115" s="46"/>
      <c r="L115" s="46"/>
      <c r="M115" s="46"/>
      <c r="N115" s="46"/>
      <c r="O115" s="46"/>
      <c r="P115" s="46"/>
      <c r="Q115" s="46"/>
      <c r="R115" s="46"/>
      <c r="S115" s="46"/>
      <c r="T115" s="46"/>
      <c r="U115" s="46"/>
    </row>
    <row r="116" spans="1:21" ht="15.75" customHeight="1">
      <c r="A116" s="338" t="s">
        <v>11</v>
      </c>
      <c r="B116" s="339" t="s">
        <v>789</v>
      </c>
      <c r="C116" s="46"/>
      <c r="D116" s="46"/>
      <c r="E116" s="46"/>
      <c r="F116" s="46"/>
      <c r="G116" s="46"/>
      <c r="H116" s="46"/>
      <c r="I116" s="46"/>
      <c r="J116" s="46"/>
      <c r="K116" s="46"/>
      <c r="L116" s="46"/>
      <c r="M116" s="46"/>
      <c r="N116" s="46"/>
      <c r="O116" s="46"/>
      <c r="P116" s="46"/>
      <c r="Q116" s="46"/>
      <c r="R116" s="46"/>
      <c r="S116" s="46"/>
      <c r="T116" s="46"/>
      <c r="U116" s="46"/>
    </row>
    <row r="117" spans="1:21">
      <c r="A117" s="338" t="s">
        <v>13</v>
      </c>
      <c r="B117" s="46" t="s">
        <v>14</v>
      </c>
      <c r="C117" s="46"/>
      <c r="D117" s="46"/>
      <c r="E117" s="46"/>
      <c r="F117" s="46"/>
      <c r="G117" s="46"/>
      <c r="H117" s="46"/>
      <c r="I117" s="46"/>
      <c r="J117" s="46"/>
      <c r="K117" s="46"/>
      <c r="L117" s="46"/>
      <c r="M117" s="46"/>
      <c r="N117" s="46"/>
      <c r="O117" s="46"/>
      <c r="P117" s="46"/>
      <c r="Q117" s="46"/>
      <c r="R117" s="46"/>
      <c r="S117" s="46"/>
      <c r="T117" s="46"/>
      <c r="U117" s="46"/>
    </row>
    <row r="118" spans="1:21">
      <c r="A118" s="338" t="s">
        <v>15</v>
      </c>
      <c r="B118" s="46">
        <v>1</v>
      </c>
      <c r="C118" s="46"/>
      <c r="D118" s="46"/>
      <c r="E118" s="46"/>
      <c r="F118" s="46"/>
      <c r="G118" s="46"/>
      <c r="H118" s="46"/>
      <c r="I118" s="46"/>
      <c r="J118" s="46"/>
      <c r="K118" s="46"/>
      <c r="L118" s="46"/>
      <c r="M118" s="46"/>
      <c r="N118" s="46"/>
      <c r="O118" s="46"/>
      <c r="P118" s="46"/>
      <c r="Q118" s="46"/>
      <c r="R118" s="46"/>
      <c r="S118" s="46"/>
      <c r="T118" s="46"/>
      <c r="U118" s="46"/>
    </row>
    <row r="119" spans="1:21">
      <c r="A119" s="338" t="s">
        <v>16</v>
      </c>
      <c r="B119" s="46" t="s">
        <v>17</v>
      </c>
      <c r="C119" s="46"/>
      <c r="D119" s="46"/>
      <c r="E119" s="46"/>
      <c r="F119" s="46"/>
      <c r="G119" s="46"/>
      <c r="H119" s="46"/>
      <c r="I119" s="46"/>
      <c r="J119" s="46"/>
      <c r="K119" s="46"/>
      <c r="L119" s="46"/>
      <c r="M119" s="46"/>
      <c r="N119" s="46"/>
      <c r="O119" s="46"/>
      <c r="P119" s="46"/>
      <c r="Q119" s="46"/>
      <c r="R119" s="46"/>
      <c r="S119" s="46"/>
      <c r="T119" s="46"/>
      <c r="U119" s="46"/>
    </row>
    <row r="120" spans="1:21">
      <c r="A120" s="338" t="s">
        <v>18</v>
      </c>
      <c r="B120" s="46" t="s">
        <v>18</v>
      </c>
      <c r="C120" s="46"/>
      <c r="D120" s="46"/>
      <c r="E120" s="46"/>
      <c r="F120" s="46"/>
      <c r="G120" s="46"/>
      <c r="H120" s="46"/>
      <c r="I120" s="46"/>
      <c r="J120" s="46"/>
      <c r="K120" s="46"/>
      <c r="L120" s="46"/>
      <c r="M120" s="46"/>
      <c r="N120" s="46"/>
      <c r="O120" s="46"/>
      <c r="P120" s="46"/>
      <c r="Q120" s="46"/>
      <c r="R120" s="46"/>
      <c r="S120" s="46"/>
      <c r="T120" s="46"/>
      <c r="U120" s="46"/>
    </row>
    <row r="121" spans="1:21">
      <c r="A121" s="335" t="s">
        <v>19</v>
      </c>
      <c r="B121" s="46"/>
      <c r="C121" s="46"/>
      <c r="D121" s="46"/>
      <c r="E121" s="46"/>
      <c r="F121" s="46"/>
      <c r="G121" s="46"/>
      <c r="H121" s="46"/>
      <c r="I121" s="46"/>
      <c r="J121" s="46"/>
      <c r="K121" s="46"/>
      <c r="L121" s="46"/>
      <c r="M121" s="46"/>
      <c r="N121" s="46"/>
      <c r="O121" s="46"/>
      <c r="P121" s="46"/>
      <c r="Q121" s="46"/>
      <c r="R121" s="46"/>
      <c r="S121" s="46"/>
      <c r="T121" s="46"/>
      <c r="U121" s="46"/>
    </row>
    <row r="122" spans="1:21">
      <c r="A122" s="335" t="s">
        <v>20</v>
      </c>
      <c r="B122" s="336" t="s">
        <v>21</v>
      </c>
      <c r="C122" s="336" t="s">
        <v>18</v>
      </c>
      <c r="D122" s="336" t="s">
        <v>22</v>
      </c>
      <c r="E122" s="336" t="s">
        <v>7</v>
      </c>
      <c r="F122" s="336" t="s">
        <v>13</v>
      </c>
      <c r="G122" s="336" t="s">
        <v>16</v>
      </c>
      <c r="H122" s="336" t="s">
        <v>23</v>
      </c>
      <c r="I122" s="336" t="s">
        <v>24</v>
      </c>
      <c r="J122" s="336" t="s">
        <v>25</v>
      </c>
      <c r="K122" s="336" t="s">
        <v>26</v>
      </c>
      <c r="L122" s="336" t="s">
        <v>27</v>
      </c>
      <c r="M122" s="336" t="s">
        <v>28</v>
      </c>
      <c r="N122" s="336" t="s">
        <v>11</v>
      </c>
      <c r="O122" s="46"/>
      <c r="P122" s="46"/>
      <c r="Q122" s="46"/>
      <c r="R122" s="46"/>
      <c r="S122" s="46"/>
      <c r="T122" s="46"/>
      <c r="U122" s="46"/>
    </row>
    <row r="123" spans="1:21">
      <c r="A123" s="46" t="s">
        <v>1102</v>
      </c>
      <c r="B123" s="46">
        <v>1</v>
      </c>
      <c r="C123" s="46" t="s">
        <v>18</v>
      </c>
      <c r="D123" s="400" t="s">
        <v>2</v>
      </c>
      <c r="E123" s="46" t="s">
        <v>29</v>
      </c>
      <c r="F123" s="32" t="s">
        <v>14</v>
      </c>
      <c r="G123" s="46" t="s">
        <v>30</v>
      </c>
      <c r="H123" s="46">
        <v>1</v>
      </c>
      <c r="I123" s="46">
        <f>B123</f>
        <v>1</v>
      </c>
      <c r="J123" s="46" t="s">
        <v>31</v>
      </c>
      <c r="K123" s="46" t="s">
        <v>31</v>
      </c>
      <c r="L123" s="46" t="s">
        <v>31</v>
      </c>
      <c r="M123" s="46" t="s">
        <v>31</v>
      </c>
      <c r="N123" s="46"/>
      <c r="O123" s="46"/>
      <c r="P123" s="46"/>
      <c r="Q123" s="46"/>
      <c r="R123" s="46"/>
      <c r="S123" s="46"/>
      <c r="T123" s="46"/>
      <c r="U123" s="46"/>
    </row>
    <row r="124" spans="1:21">
      <c r="A124" s="47" t="s">
        <v>610</v>
      </c>
      <c r="B124" s="46">
        <f>R124</f>
        <v>0.47</v>
      </c>
      <c r="C124" s="46" t="s">
        <v>37</v>
      </c>
      <c r="D124" s="46" t="s">
        <v>40</v>
      </c>
      <c r="E124" s="46" t="s">
        <v>29</v>
      </c>
      <c r="F124" s="46" t="s">
        <v>58</v>
      </c>
      <c r="G124" s="46" t="s">
        <v>33</v>
      </c>
      <c r="H124" s="46">
        <v>1</v>
      </c>
      <c r="I124" s="46">
        <f>B124</f>
        <v>0.47</v>
      </c>
      <c r="J124" s="46" t="s">
        <v>31</v>
      </c>
      <c r="K124" s="46" t="s">
        <v>31</v>
      </c>
      <c r="L124" s="46" t="s">
        <v>31</v>
      </c>
      <c r="M124" s="46" t="s">
        <v>31</v>
      </c>
      <c r="N124" s="46"/>
      <c r="O124" s="46"/>
      <c r="P124" s="46">
        <v>0.47</v>
      </c>
      <c r="Q124" s="46" t="s">
        <v>221</v>
      </c>
      <c r="R124" s="46">
        <f>P124</f>
        <v>0.47</v>
      </c>
      <c r="S124" s="46"/>
      <c r="T124" s="46"/>
      <c r="U124" s="46"/>
    </row>
    <row r="125" spans="1:21">
      <c r="A125" s="47" t="s">
        <v>908</v>
      </c>
      <c r="B125" s="46">
        <f t="shared" ref="B125:B127" si="5">R125</f>
        <v>0.312</v>
      </c>
      <c r="C125" s="46" t="s">
        <v>37</v>
      </c>
      <c r="D125" s="46" t="s">
        <v>40</v>
      </c>
      <c r="E125" s="46" t="s">
        <v>29</v>
      </c>
      <c r="F125" s="46" t="s">
        <v>58</v>
      </c>
      <c r="G125" s="46" t="s">
        <v>33</v>
      </c>
      <c r="H125" s="46">
        <v>2</v>
      </c>
      <c r="I125" s="46">
        <f>LN(B125)</f>
        <v>-1.1647520911726548</v>
      </c>
      <c r="J125" s="46">
        <v>3.7749172176353707E-2</v>
      </c>
      <c r="K125" s="46" t="s">
        <v>31</v>
      </c>
      <c r="L125" s="46" t="s">
        <v>31</v>
      </c>
      <c r="M125" s="46" t="s">
        <v>31</v>
      </c>
      <c r="N125" s="46"/>
      <c r="O125" s="393" t="s">
        <v>575</v>
      </c>
      <c r="P125" s="120">
        <v>312</v>
      </c>
      <c r="Q125" s="46" t="s">
        <v>221</v>
      </c>
      <c r="R125" s="46">
        <f>P125*0.001</f>
        <v>0.312</v>
      </c>
      <c r="S125" s="46"/>
      <c r="T125" s="46"/>
      <c r="U125" s="46"/>
    </row>
    <row r="126" spans="1:21">
      <c r="A126" s="47" t="s">
        <v>909</v>
      </c>
      <c r="B126" s="46">
        <f t="shared" si="5"/>
        <v>1.8600000000000002E-2</v>
      </c>
      <c r="C126" s="46" t="s">
        <v>37</v>
      </c>
      <c r="D126" s="46" t="s">
        <v>40</v>
      </c>
      <c r="E126" s="46" t="s">
        <v>29</v>
      </c>
      <c r="F126" s="46" t="s">
        <v>58</v>
      </c>
      <c r="G126" s="46" t="s">
        <v>33</v>
      </c>
      <c r="H126" s="46">
        <v>2</v>
      </c>
      <c r="I126" s="46">
        <f>LN(B126)</f>
        <v>-3.9845936982629815</v>
      </c>
      <c r="J126" s="46">
        <v>3.7749172176353707E-2</v>
      </c>
      <c r="K126" s="46" t="s">
        <v>31</v>
      </c>
      <c r="L126" s="46" t="s">
        <v>31</v>
      </c>
      <c r="M126" s="46" t="s">
        <v>31</v>
      </c>
      <c r="N126" s="46"/>
      <c r="O126" s="393" t="s">
        <v>575</v>
      </c>
      <c r="P126" s="120">
        <v>18.600000000000001</v>
      </c>
      <c r="Q126" s="46" t="s">
        <v>221</v>
      </c>
      <c r="R126" s="46">
        <f t="shared" ref="R126:R127" si="6">P126*0.001</f>
        <v>1.8600000000000002E-2</v>
      </c>
      <c r="S126" s="46"/>
      <c r="T126" s="46"/>
      <c r="U126" s="46"/>
    </row>
    <row r="127" spans="1:21">
      <c r="A127" s="47" t="s">
        <v>910</v>
      </c>
      <c r="B127" s="46">
        <f t="shared" si="5"/>
        <v>0.14100000000000001</v>
      </c>
      <c r="C127" s="46" t="s">
        <v>37</v>
      </c>
      <c r="D127" s="46" t="s">
        <v>40</v>
      </c>
      <c r="E127" s="46" t="s">
        <v>29</v>
      </c>
      <c r="F127" s="46" t="s">
        <v>58</v>
      </c>
      <c r="G127" s="46" t="s">
        <v>33</v>
      </c>
      <c r="H127" s="46">
        <v>2</v>
      </c>
      <c r="I127" s="46">
        <f>LN(B127)</f>
        <v>-1.9589953886039686</v>
      </c>
      <c r="J127" s="46">
        <v>3.7749172176353707E-2</v>
      </c>
      <c r="K127" s="46" t="s">
        <v>31</v>
      </c>
      <c r="L127" s="46" t="s">
        <v>31</v>
      </c>
      <c r="M127" s="46" t="s">
        <v>31</v>
      </c>
      <c r="N127" s="46"/>
      <c r="O127" s="393" t="s">
        <v>575</v>
      </c>
      <c r="P127" s="120">
        <v>141</v>
      </c>
      <c r="Q127" s="46" t="s">
        <v>221</v>
      </c>
      <c r="R127" s="46">
        <f t="shared" si="6"/>
        <v>0.14100000000000001</v>
      </c>
      <c r="S127" s="46"/>
      <c r="T127" s="46"/>
      <c r="U127" s="46"/>
    </row>
    <row r="128" spans="1:21" s="41" customFormat="1">
      <c r="A128" s="362" t="s">
        <v>5</v>
      </c>
      <c r="B128" s="148" t="s">
        <v>1100</v>
      </c>
      <c r="C128" s="364"/>
      <c r="D128" s="345"/>
      <c r="E128" s="345"/>
      <c r="F128" s="345"/>
      <c r="G128" s="345"/>
      <c r="H128" s="345"/>
      <c r="I128" s="345"/>
      <c r="J128" s="345"/>
      <c r="K128" s="345"/>
      <c r="L128" s="345"/>
      <c r="M128" s="345"/>
      <c r="N128" s="345"/>
      <c r="O128" s="345"/>
      <c r="P128" s="345"/>
      <c r="Q128" s="345"/>
      <c r="R128" s="345"/>
      <c r="S128" s="345"/>
      <c r="T128" s="345"/>
      <c r="U128" s="345"/>
    </row>
    <row r="129" spans="1:21">
      <c r="A129" s="338" t="s">
        <v>7</v>
      </c>
      <c r="B129" s="46" t="s">
        <v>779</v>
      </c>
      <c r="C129" s="337"/>
      <c r="D129" s="46"/>
      <c r="E129" s="46"/>
      <c r="F129" s="46"/>
      <c r="G129" s="46"/>
      <c r="H129" s="46"/>
      <c r="I129" s="46"/>
      <c r="J129" s="46"/>
      <c r="K129" s="46"/>
      <c r="L129" s="46"/>
      <c r="M129" s="46"/>
      <c r="N129" s="46"/>
      <c r="O129" s="46"/>
      <c r="P129" s="46"/>
      <c r="Q129" s="46"/>
      <c r="R129" s="46"/>
      <c r="S129" s="46"/>
      <c r="T129" s="46"/>
      <c r="U129" s="46"/>
    </row>
    <row r="130" spans="1:21">
      <c r="A130" s="416" t="s">
        <v>9</v>
      </c>
      <c r="B130" s="46" t="s">
        <v>1104</v>
      </c>
      <c r="C130" s="337"/>
      <c r="D130" s="46"/>
      <c r="E130" s="46"/>
      <c r="F130" s="46"/>
      <c r="G130" s="46"/>
      <c r="H130" s="46"/>
      <c r="I130" s="46"/>
      <c r="J130" s="46"/>
      <c r="K130" s="46"/>
      <c r="L130" s="46"/>
      <c r="M130" s="46"/>
      <c r="N130" s="46"/>
      <c r="O130" s="46"/>
      <c r="P130" s="46"/>
      <c r="Q130" s="46"/>
      <c r="R130" s="46"/>
      <c r="S130" s="46"/>
      <c r="T130" s="46"/>
      <c r="U130" s="46"/>
    </row>
    <row r="131" spans="1:21" ht="15.75" customHeight="1">
      <c r="A131" s="338" t="s">
        <v>11</v>
      </c>
      <c r="B131" s="339" t="s">
        <v>789</v>
      </c>
      <c r="C131" s="46"/>
      <c r="D131" s="46"/>
      <c r="E131" s="46"/>
      <c r="F131" s="46"/>
      <c r="G131" s="46"/>
      <c r="H131" s="46"/>
      <c r="I131" s="46"/>
      <c r="J131" s="46"/>
      <c r="K131" s="46"/>
      <c r="L131" s="46"/>
      <c r="M131" s="46"/>
      <c r="N131" s="46"/>
      <c r="O131" s="46"/>
      <c r="P131" s="46"/>
      <c r="Q131" s="46"/>
      <c r="R131" s="46"/>
      <c r="S131" s="46"/>
      <c r="T131" s="46"/>
      <c r="U131" s="46"/>
    </row>
    <row r="132" spans="1:21">
      <c r="A132" s="338" t="s">
        <v>13</v>
      </c>
      <c r="B132" s="46" t="s">
        <v>14</v>
      </c>
      <c r="C132" s="46"/>
      <c r="D132" s="46"/>
      <c r="E132" s="46"/>
      <c r="F132" s="46"/>
      <c r="G132" s="46"/>
      <c r="H132" s="46"/>
      <c r="I132" s="46"/>
      <c r="J132" s="46"/>
      <c r="K132" s="46"/>
      <c r="L132" s="46"/>
      <c r="M132" s="46"/>
      <c r="N132" s="46"/>
      <c r="O132" s="46"/>
      <c r="P132" s="46"/>
      <c r="Q132" s="46"/>
      <c r="R132" s="46"/>
      <c r="S132" s="46"/>
      <c r="T132" s="46"/>
      <c r="U132" s="46"/>
    </row>
    <row r="133" spans="1:21">
      <c r="A133" s="338" t="s">
        <v>15</v>
      </c>
      <c r="B133" s="417">
        <f>B138</f>
        <v>0.1</v>
      </c>
      <c r="C133" s="46"/>
      <c r="D133" s="46"/>
      <c r="E133" s="46"/>
      <c r="F133" s="46"/>
      <c r="G133" s="46"/>
      <c r="H133" s="46"/>
      <c r="I133" s="46"/>
      <c r="J133" s="46"/>
      <c r="K133" s="46"/>
      <c r="L133" s="46"/>
      <c r="M133" s="46"/>
      <c r="N133" s="46"/>
      <c r="O133" s="46"/>
      <c r="P133" s="46"/>
      <c r="Q133" s="46"/>
      <c r="R133" s="46"/>
      <c r="S133" s="46"/>
      <c r="T133" s="46"/>
      <c r="U133" s="46"/>
    </row>
    <row r="134" spans="1:21">
      <c r="A134" s="338" t="s">
        <v>16</v>
      </c>
      <c r="B134" s="46" t="s">
        <v>17</v>
      </c>
      <c r="C134" s="46"/>
      <c r="D134" s="46"/>
      <c r="E134" s="46"/>
      <c r="F134" s="46"/>
      <c r="G134" s="46"/>
      <c r="H134" s="46"/>
      <c r="I134" s="46"/>
      <c r="J134" s="46"/>
      <c r="K134" s="46"/>
      <c r="L134" s="46"/>
      <c r="M134" s="46"/>
      <c r="N134" s="46"/>
      <c r="O134" s="46"/>
      <c r="P134" s="46"/>
      <c r="Q134" s="46"/>
      <c r="R134" s="46"/>
      <c r="S134" s="46"/>
      <c r="T134" s="46"/>
      <c r="U134" s="46"/>
    </row>
    <row r="135" spans="1:21">
      <c r="A135" s="338" t="s">
        <v>18</v>
      </c>
      <c r="B135" s="46" t="s">
        <v>113</v>
      </c>
      <c r="C135" s="46"/>
      <c r="D135" s="46"/>
      <c r="E135" s="46"/>
      <c r="F135" s="46"/>
      <c r="G135" s="46"/>
      <c r="H135" s="46"/>
      <c r="I135" s="46"/>
      <c r="J135" s="46"/>
      <c r="K135" s="46"/>
      <c r="L135" s="46"/>
      <c r="M135" s="46"/>
      <c r="N135" s="46"/>
      <c r="O135" s="46"/>
      <c r="P135" s="46"/>
      <c r="Q135" s="46"/>
      <c r="R135" s="46"/>
      <c r="S135" s="46"/>
      <c r="T135" s="46"/>
      <c r="U135" s="46"/>
    </row>
    <row r="136" spans="1:21">
      <c r="A136" s="335" t="s">
        <v>19</v>
      </c>
      <c r="B136" s="46"/>
      <c r="C136" s="46"/>
      <c r="D136" s="46"/>
      <c r="E136" s="46"/>
      <c r="F136" s="46"/>
      <c r="G136" s="46"/>
      <c r="H136" s="46"/>
      <c r="I136" s="46"/>
      <c r="J136" s="46"/>
      <c r="K136" s="46"/>
      <c r="L136" s="46"/>
      <c r="M136" s="46"/>
      <c r="N136" s="46"/>
      <c r="O136" s="46"/>
      <c r="P136" s="46"/>
      <c r="Q136" s="46"/>
      <c r="R136" s="46"/>
      <c r="S136" s="46"/>
      <c r="T136" s="46"/>
      <c r="U136" s="46"/>
    </row>
    <row r="137" spans="1:21">
      <c r="A137" s="336" t="s">
        <v>20</v>
      </c>
      <c r="B137" s="336" t="s">
        <v>21</v>
      </c>
      <c r="C137" s="336" t="s">
        <v>18</v>
      </c>
      <c r="D137" s="336" t="s">
        <v>22</v>
      </c>
      <c r="E137" s="336" t="s">
        <v>7</v>
      </c>
      <c r="F137" s="336" t="s">
        <v>13</v>
      </c>
      <c r="G137" s="336" t="s">
        <v>16</v>
      </c>
      <c r="H137" s="336" t="s">
        <v>23</v>
      </c>
      <c r="I137" s="336" t="s">
        <v>24</v>
      </c>
      <c r="J137" s="336" t="s">
        <v>25</v>
      </c>
      <c r="K137" s="336" t="s">
        <v>26</v>
      </c>
      <c r="L137" s="336" t="s">
        <v>27</v>
      </c>
      <c r="M137" s="336" t="s">
        <v>28</v>
      </c>
      <c r="N137" s="336" t="s">
        <v>11</v>
      </c>
      <c r="O137" s="46"/>
      <c r="P137" s="46"/>
      <c r="Q137" s="46"/>
      <c r="R137" s="46"/>
      <c r="S137" s="46"/>
      <c r="T137" s="46"/>
      <c r="U137" s="46"/>
    </row>
    <row r="138" spans="1:21">
      <c r="A138" s="46" t="s">
        <v>1100</v>
      </c>
      <c r="B138" s="417">
        <f>P138</f>
        <v>0.1</v>
      </c>
      <c r="C138" s="46" t="s">
        <v>113</v>
      </c>
      <c r="D138" s="400" t="s">
        <v>2</v>
      </c>
      <c r="E138" s="46" t="s">
        <v>29</v>
      </c>
      <c r="F138" s="32" t="s">
        <v>14</v>
      </c>
      <c r="G138" s="46" t="s">
        <v>30</v>
      </c>
      <c r="H138" s="46">
        <v>1</v>
      </c>
      <c r="I138" s="46">
        <f>B138</f>
        <v>0.1</v>
      </c>
      <c r="J138" s="46" t="s">
        <v>31</v>
      </c>
      <c r="K138" s="46" t="s">
        <v>31</v>
      </c>
      <c r="L138" s="46" t="s">
        <v>31</v>
      </c>
      <c r="M138" s="46" t="s">
        <v>31</v>
      </c>
      <c r="N138" s="46"/>
      <c r="O138" s="401"/>
      <c r="P138" s="462">
        <v>0.1</v>
      </c>
      <c r="Q138" s="342"/>
      <c r="R138" s="46"/>
      <c r="S138" s="46"/>
      <c r="T138" s="46"/>
      <c r="U138" s="46"/>
    </row>
    <row r="139" spans="1:21">
      <c r="A139" s="62" t="s">
        <v>1105</v>
      </c>
      <c r="B139" s="417">
        <f>P139</f>
        <v>0.1</v>
      </c>
      <c r="C139" s="46" t="s">
        <v>113</v>
      </c>
      <c r="D139" s="400" t="s">
        <v>2</v>
      </c>
      <c r="E139" s="46" t="s">
        <v>29</v>
      </c>
      <c r="F139" s="32" t="s">
        <v>14</v>
      </c>
      <c r="G139" s="46" t="s">
        <v>33</v>
      </c>
      <c r="H139" s="46">
        <v>1</v>
      </c>
      <c r="I139" s="46">
        <f>B139</f>
        <v>0.1</v>
      </c>
      <c r="J139" s="46" t="s">
        <v>31</v>
      </c>
      <c r="K139" s="46" t="s">
        <v>31</v>
      </c>
      <c r="L139" s="46" t="s">
        <v>31</v>
      </c>
      <c r="M139" s="46" t="s">
        <v>31</v>
      </c>
      <c r="N139" s="46"/>
      <c r="O139" s="46"/>
      <c r="P139" s="462">
        <v>0.1</v>
      </c>
      <c r="Q139" s="46"/>
      <c r="R139" s="46"/>
      <c r="S139" s="46"/>
      <c r="T139" s="46"/>
      <c r="U139" s="46"/>
    </row>
    <row r="140" spans="1:21">
      <c r="A140" s="47" t="s">
        <v>683</v>
      </c>
      <c r="B140" s="46">
        <f>R140</f>
        <v>4.9000000000000007E-3</v>
      </c>
      <c r="C140" s="46" t="s">
        <v>37</v>
      </c>
      <c r="D140" s="46" t="s">
        <v>40</v>
      </c>
      <c r="E140" s="46" t="s">
        <v>29</v>
      </c>
      <c r="F140" s="46" t="s">
        <v>35</v>
      </c>
      <c r="G140" s="46" t="s">
        <v>33</v>
      </c>
      <c r="H140" s="46">
        <v>2</v>
      </c>
      <c r="I140" s="46">
        <f>LN(B140)</f>
        <v>-5.3185200738655558</v>
      </c>
      <c r="J140" s="46">
        <v>0.20928449536456342</v>
      </c>
      <c r="K140" s="46" t="s">
        <v>31</v>
      </c>
      <c r="L140" s="46" t="s">
        <v>31</v>
      </c>
      <c r="M140" s="46" t="s">
        <v>31</v>
      </c>
      <c r="N140" s="46"/>
      <c r="O140" s="393" t="s">
        <v>575</v>
      </c>
      <c r="P140" s="406">
        <v>4.9000000000000004</v>
      </c>
      <c r="Q140" s="46" t="s">
        <v>221</v>
      </c>
      <c r="R140" s="46">
        <f>0.001*P140</f>
        <v>4.9000000000000007E-3</v>
      </c>
      <c r="S140" s="46"/>
      <c r="T140" s="46"/>
      <c r="U140" s="46"/>
    </row>
    <row r="141" spans="1:21">
      <c r="A141" s="47" t="s">
        <v>530</v>
      </c>
      <c r="B141" s="46">
        <f>R141</f>
        <v>4.9000000000000007E-3</v>
      </c>
      <c r="C141" s="46" t="s">
        <v>37</v>
      </c>
      <c r="D141" s="46" t="s">
        <v>40</v>
      </c>
      <c r="E141" s="46" t="s">
        <v>29</v>
      </c>
      <c r="F141" s="46" t="s">
        <v>35</v>
      </c>
      <c r="G141" s="46" t="s">
        <v>33</v>
      </c>
      <c r="H141" s="46">
        <v>2</v>
      </c>
      <c r="I141" s="46">
        <f>LN(B141)</f>
        <v>-5.3185200738655558</v>
      </c>
      <c r="J141" s="46">
        <v>0.20928449536456342</v>
      </c>
      <c r="K141" s="46" t="s">
        <v>31</v>
      </c>
      <c r="L141" s="46" t="s">
        <v>31</v>
      </c>
      <c r="M141" s="46" t="s">
        <v>31</v>
      </c>
      <c r="N141" s="46"/>
      <c r="O141" s="393" t="s">
        <v>575</v>
      </c>
      <c r="P141" s="406">
        <v>4.9000000000000004</v>
      </c>
      <c r="Q141" s="46" t="s">
        <v>221</v>
      </c>
      <c r="R141" s="46">
        <f>0.001*P141</f>
        <v>4.9000000000000007E-3</v>
      </c>
      <c r="S141" s="46"/>
      <c r="T141" s="46"/>
      <c r="U141" s="46"/>
    </row>
    <row r="142" spans="1:21" s="41" customFormat="1">
      <c r="A142" s="362" t="s">
        <v>5</v>
      </c>
      <c r="B142" s="438" t="s">
        <v>1105</v>
      </c>
      <c r="C142" s="364"/>
      <c r="D142" s="345"/>
      <c r="E142" s="345"/>
      <c r="F142" s="345"/>
      <c r="G142" s="345"/>
      <c r="H142" s="345"/>
      <c r="I142" s="345"/>
      <c r="J142" s="345"/>
      <c r="K142" s="345"/>
      <c r="L142" s="345"/>
      <c r="M142" s="345"/>
      <c r="N142" s="345"/>
      <c r="O142" s="345"/>
      <c r="P142" s="345"/>
      <c r="Q142" s="345"/>
      <c r="R142" s="345"/>
      <c r="S142" s="345"/>
      <c r="T142" s="345"/>
      <c r="U142" s="345"/>
    </row>
    <row r="143" spans="1:21">
      <c r="A143" s="338" t="s">
        <v>7</v>
      </c>
      <c r="B143" s="46" t="s">
        <v>779</v>
      </c>
      <c r="C143" s="337"/>
      <c r="D143" s="46"/>
      <c r="E143" s="46"/>
      <c r="F143" s="46"/>
      <c r="G143" s="46"/>
      <c r="H143" s="46"/>
      <c r="I143" s="46"/>
      <c r="J143" s="46"/>
      <c r="K143" s="46"/>
      <c r="L143" s="46"/>
      <c r="M143" s="46"/>
      <c r="N143" s="46"/>
      <c r="O143" s="46"/>
      <c r="P143" s="46"/>
      <c r="Q143" s="46"/>
      <c r="R143" s="46"/>
      <c r="S143" s="46"/>
      <c r="T143" s="46"/>
      <c r="U143" s="46"/>
    </row>
    <row r="144" spans="1:21">
      <c r="A144" s="416" t="s">
        <v>9</v>
      </c>
      <c r="B144" s="46" t="s">
        <v>1106</v>
      </c>
      <c r="C144" s="337"/>
      <c r="D144" s="46"/>
      <c r="E144" s="46"/>
      <c r="F144" s="46"/>
      <c r="G144" s="46"/>
      <c r="H144" s="46"/>
      <c r="I144" s="46"/>
      <c r="J144" s="46"/>
      <c r="K144" s="46"/>
      <c r="L144" s="46"/>
      <c r="M144" s="46"/>
      <c r="N144" s="46"/>
      <c r="O144" s="46"/>
      <c r="P144" s="46"/>
      <c r="Q144" s="46"/>
      <c r="R144" s="46"/>
      <c r="S144" s="46"/>
      <c r="T144" s="46"/>
      <c r="U144" s="46"/>
    </row>
    <row r="145" spans="1:21" ht="15.75" customHeight="1">
      <c r="A145" s="338" t="s">
        <v>11</v>
      </c>
      <c r="B145" s="339" t="s">
        <v>789</v>
      </c>
      <c r="C145" s="46"/>
      <c r="D145" s="46"/>
      <c r="E145" s="46"/>
      <c r="F145" s="46"/>
      <c r="G145" s="46"/>
      <c r="H145" s="46"/>
      <c r="I145" s="46"/>
      <c r="J145" s="46"/>
      <c r="K145" s="46"/>
      <c r="L145" s="46"/>
      <c r="M145" s="46"/>
      <c r="N145" s="46"/>
      <c r="O145" s="46"/>
      <c r="P145" s="46"/>
      <c r="Q145" s="46"/>
      <c r="R145" s="46"/>
      <c r="S145" s="46"/>
      <c r="T145" s="46"/>
      <c r="U145" s="46"/>
    </row>
    <row r="146" spans="1:21">
      <c r="A146" s="338" t="s">
        <v>13</v>
      </c>
      <c r="B146" s="46" t="s">
        <v>14</v>
      </c>
      <c r="C146" s="46"/>
      <c r="D146" s="46"/>
      <c r="E146" s="46"/>
      <c r="F146" s="46"/>
      <c r="G146" s="46"/>
      <c r="H146" s="46"/>
      <c r="I146" s="46"/>
      <c r="J146" s="46"/>
      <c r="K146" s="46"/>
      <c r="L146" s="46"/>
      <c r="M146" s="46"/>
      <c r="N146" s="46"/>
      <c r="O146" s="46"/>
      <c r="P146" s="46"/>
      <c r="Q146" s="46"/>
      <c r="R146" s="46"/>
      <c r="S146" s="46"/>
      <c r="T146" s="46"/>
      <c r="U146" s="46"/>
    </row>
    <row r="147" spans="1:21">
      <c r="A147" s="338" t="s">
        <v>15</v>
      </c>
      <c r="B147" s="417">
        <f>B152</f>
        <v>5.3999999999999999E-2</v>
      </c>
      <c r="C147" s="46"/>
      <c r="D147" s="46"/>
      <c r="E147" s="46"/>
      <c r="F147" s="46"/>
      <c r="G147" s="46"/>
      <c r="H147" s="46"/>
      <c r="I147" s="46"/>
      <c r="J147" s="46"/>
      <c r="K147" s="46"/>
      <c r="L147" s="46"/>
      <c r="M147" s="46"/>
      <c r="N147" s="46"/>
      <c r="O147" s="46"/>
      <c r="P147" s="46"/>
      <c r="Q147" s="46"/>
      <c r="R147" s="46"/>
      <c r="S147" s="46"/>
      <c r="T147" s="46"/>
      <c r="U147" s="46"/>
    </row>
    <row r="148" spans="1:21">
      <c r="A148" s="338" t="s">
        <v>16</v>
      </c>
      <c r="B148" s="46" t="s">
        <v>17</v>
      </c>
      <c r="C148" s="46"/>
      <c r="D148" s="46"/>
      <c r="E148" s="46"/>
      <c r="F148" s="46"/>
      <c r="G148" s="46"/>
      <c r="H148" s="46"/>
      <c r="I148" s="46"/>
      <c r="J148" s="46"/>
      <c r="K148" s="46"/>
      <c r="L148" s="46"/>
      <c r="M148" s="46"/>
      <c r="N148" s="46"/>
      <c r="O148" s="46"/>
      <c r="P148" s="46"/>
      <c r="Q148" s="46"/>
      <c r="R148" s="46"/>
      <c r="S148" s="46"/>
      <c r="T148" s="46"/>
      <c r="U148" s="46"/>
    </row>
    <row r="149" spans="1:21">
      <c r="A149" s="338" t="s">
        <v>18</v>
      </c>
      <c r="B149" s="46" t="s">
        <v>113</v>
      </c>
      <c r="C149" s="46"/>
      <c r="D149" s="46"/>
      <c r="E149" s="46"/>
      <c r="F149" s="46"/>
      <c r="G149" s="46"/>
      <c r="H149" s="46"/>
      <c r="I149" s="46"/>
      <c r="J149" s="46"/>
      <c r="K149" s="46"/>
      <c r="L149" s="46"/>
      <c r="M149" s="46"/>
      <c r="N149" s="46"/>
      <c r="O149" s="46"/>
      <c r="P149" s="46"/>
      <c r="Q149" s="46"/>
      <c r="R149" s="46"/>
      <c r="S149" s="46"/>
      <c r="T149" s="46"/>
      <c r="U149" s="46"/>
    </row>
    <row r="150" spans="1:21">
      <c r="A150" s="335" t="s">
        <v>19</v>
      </c>
      <c r="B150" s="46"/>
      <c r="C150" s="46"/>
      <c r="D150" s="46"/>
      <c r="E150" s="46"/>
      <c r="F150" s="46"/>
      <c r="G150" s="46"/>
      <c r="H150" s="46"/>
      <c r="I150" s="46"/>
      <c r="J150" s="46"/>
      <c r="K150" s="46"/>
      <c r="L150" s="46"/>
      <c r="M150" s="46"/>
      <c r="N150" s="46"/>
      <c r="O150" s="46"/>
      <c r="P150" s="46"/>
      <c r="Q150" s="46"/>
      <c r="R150" s="46"/>
      <c r="S150" s="46"/>
      <c r="T150" s="46"/>
      <c r="U150" s="46"/>
    </row>
    <row r="151" spans="1:21">
      <c r="A151" s="336" t="s">
        <v>20</v>
      </c>
      <c r="B151" s="336" t="s">
        <v>21</v>
      </c>
      <c r="C151" s="336" t="s">
        <v>18</v>
      </c>
      <c r="D151" s="336" t="s">
        <v>22</v>
      </c>
      <c r="E151" s="336" t="s">
        <v>7</v>
      </c>
      <c r="F151" s="336" t="s">
        <v>13</v>
      </c>
      <c r="G151" s="336" t="s">
        <v>16</v>
      </c>
      <c r="H151" s="336" t="s">
        <v>23</v>
      </c>
      <c r="I151" s="336" t="s">
        <v>24</v>
      </c>
      <c r="J151" s="336" t="s">
        <v>25</v>
      </c>
      <c r="K151" s="336" t="s">
        <v>26</v>
      </c>
      <c r="L151" s="336" t="s">
        <v>27</v>
      </c>
      <c r="M151" s="336" t="s">
        <v>28</v>
      </c>
      <c r="N151" s="336" t="s">
        <v>11</v>
      </c>
      <c r="O151" s="46"/>
      <c r="P151" s="46"/>
      <c r="Q151" s="46"/>
      <c r="R151" s="46"/>
      <c r="S151" s="46"/>
      <c r="T151" s="46"/>
      <c r="U151" s="46"/>
    </row>
    <row r="152" spans="1:21">
      <c r="A152" s="62" t="s">
        <v>1105</v>
      </c>
      <c r="B152" s="437">
        <f>P152</f>
        <v>5.3999999999999999E-2</v>
      </c>
      <c r="C152" s="46" t="s">
        <v>113</v>
      </c>
      <c r="D152" s="400" t="s">
        <v>2</v>
      </c>
      <c r="E152" s="46" t="s">
        <v>29</v>
      </c>
      <c r="F152" s="32" t="s">
        <v>14</v>
      </c>
      <c r="G152" s="46" t="s">
        <v>30</v>
      </c>
      <c r="H152" s="46">
        <v>1</v>
      </c>
      <c r="I152" s="46">
        <f>B152</f>
        <v>5.3999999999999999E-2</v>
      </c>
      <c r="J152" s="46" t="s">
        <v>31</v>
      </c>
      <c r="K152" s="46" t="s">
        <v>31</v>
      </c>
      <c r="L152" s="46" t="s">
        <v>31</v>
      </c>
      <c r="M152" s="46" t="s">
        <v>31</v>
      </c>
      <c r="N152" s="46"/>
      <c r="O152" s="463" t="s">
        <v>605</v>
      </c>
      <c r="P152" s="461">
        <v>5.3999999999999999E-2</v>
      </c>
      <c r="Q152" s="46"/>
      <c r="R152" s="46"/>
      <c r="S152" s="46"/>
      <c r="T152" s="46"/>
      <c r="U152" s="46"/>
    </row>
    <row r="153" spans="1:21">
      <c r="A153" s="46" t="s">
        <v>1107</v>
      </c>
      <c r="B153" s="437">
        <f t="shared" ref="B153:B156" si="7">P153</f>
        <v>1.7000000000000001E-2</v>
      </c>
      <c r="C153" s="46" t="s">
        <v>113</v>
      </c>
      <c r="D153" s="400" t="s">
        <v>2</v>
      </c>
      <c r="E153" s="46" t="s">
        <v>29</v>
      </c>
      <c r="F153" s="32" t="s">
        <v>14</v>
      </c>
      <c r="G153" s="46" t="s">
        <v>33</v>
      </c>
      <c r="H153" s="46">
        <v>1</v>
      </c>
      <c r="I153" s="46">
        <f>B153</f>
        <v>1.7000000000000001E-2</v>
      </c>
      <c r="J153" s="46" t="s">
        <v>31</v>
      </c>
      <c r="K153" s="46" t="s">
        <v>31</v>
      </c>
      <c r="L153" s="46" t="s">
        <v>31</v>
      </c>
      <c r="M153" s="46" t="s">
        <v>31</v>
      </c>
      <c r="N153" s="46"/>
      <c r="O153" s="463" t="s">
        <v>817</v>
      </c>
      <c r="P153" s="464">
        <v>1.7000000000000001E-2</v>
      </c>
      <c r="Q153" s="46"/>
      <c r="R153" s="46"/>
      <c r="S153" s="46"/>
      <c r="T153" s="46"/>
      <c r="U153" s="46"/>
    </row>
    <row r="154" spans="1:21">
      <c r="A154" s="46" t="s">
        <v>1108</v>
      </c>
      <c r="B154" s="437">
        <f t="shared" si="7"/>
        <v>5.3999999999999999E-2</v>
      </c>
      <c r="C154" s="46" t="s">
        <v>113</v>
      </c>
      <c r="D154" s="400" t="s">
        <v>2</v>
      </c>
      <c r="E154" s="46" t="s">
        <v>29</v>
      </c>
      <c r="F154" s="32" t="s">
        <v>14</v>
      </c>
      <c r="G154" s="46" t="s">
        <v>33</v>
      </c>
      <c r="H154" s="46">
        <v>1</v>
      </c>
      <c r="I154" s="46">
        <f>B154</f>
        <v>5.3999999999999999E-2</v>
      </c>
      <c r="J154" s="46" t="s">
        <v>31</v>
      </c>
      <c r="K154" s="46" t="s">
        <v>31</v>
      </c>
      <c r="L154" s="46" t="s">
        <v>31</v>
      </c>
      <c r="M154" s="46" t="s">
        <v>31</v>
      </c>
      <c r="N154" s="46"/>
      <c r="O154" s="392" t="s">
        <v>817</v>
      </c>
      <c r="P154" s="461">
        <v>5.3999999999999999E-2</v>
      </c>
      <c r="Q154" s="46"/>
      <c r="R154" s="46"/>
      <c r="S154" s="46"/>
      <c r="T154" s="46"/>
      <c r="U154" s="46"/>
    </row>
    <row r="155" spans="1:21">
      <c r="A155" s="338" t="s">
        <v>75</v>
      </c>
      <c r="B155" s="437">
        <f t="shared" si="7"/>
        <v>2.42</v>
      </c>
      <c r="C155" s="46" t="s">
        <v>39</v>
      </c>
      <c r="D155" s="46" t="s">
        <v>40</v>
      </c>
      <c r="E155" s="46" t="s">
        <v>29</v>
      </c>
      <c r="F155" s="32" t="s">
        <v>35</v>
      </c>
      <c r="G155" s="46" t="s">
        <v>33</v>
      </c>
      <c r="H155" s="46">
        <v>2</v>
      </c>
      <c r="I155" s="46">
        <f t="shared" ref="I155:I156" si="8">LN(B155)</f>
        <v>0.88376754016859504</v>
      </c>
      <c r="J155" s="46">
        <v>9.7082439194738052E-2</v>
      </c>
      <c r="K155" s="46" t="s">
        <v>31</v>
      </c>
      <c r="L155" s="46" t="s">
        <v>31</v>
      </c>
      <c r="M155" s="46" t="s">
        <v>31</v>
      </c>
      <c r="N155" s="46"/>
      <c r="O155" s="393" t="s">
        <v>216</v>
      </c>
      <c r="P155" s="406">
        <v>2.42</v>
      </c>
      <c r="Q155" s="46" t="s">
        <v>216</v>
      </c>
      <c r="R155" s="342">
        <f>P155</f>
        <v>2.42</v>
      </c>
      <c r="S155" s="46"/>
      <c r="T155" s="46"/>
      <c r="U155" s="46"/>
    </row>
    <row r="156" spans="1:21">
      <c r="A156" s="338" t="s">
        <v>480</v>
      </c>
      <c r="B156" s="437">
        <f t="shared" si="7"/>
        <v>6.4</v>
      </c>
      <c r="C156" s="46" t="s">
        <v>37</v>
      </c>
      <c r="D156" s="46" t="s">
        <v>40</v>
      </c>
      <c r="E156" s="46" t="s">
        <v>29</v>
      </c>
      <c r="F156" s="32" t="s">
        <v>35</v>
      </c>
      <c r="G156" s="46" t="s">
        <v>33</v>
      </c>
      <c r="H156" s="46">
        <v>2</v>
      </c>
      <c r="I156" s="46">
        <f t="shared" si="8"/>
        <v>1.8562979903656263</v>
      </c>
      <c r="J156" s="46">
        <v>9.7082439194738052E-2</v>
      </c>
      <c r="K156" s="46" t="s">
        <v>31</v>
      </c>
      <c r="L156" s="46" t="s">
        <v>31</v>
      </c>
      <c r="M156" s="46" t="s">
        <v>31</v>
      </c>
      <c r="N156" s="46"/>
      <c r="O156" s="393" t="s">
        <v>221</v>
      </c>
      <c r="P156" s="406">
        <v>6.4</v>
      </c>
      <c r="Q156" s="46"/>
      <c r="R156" s="46"/>
      <c r="S156" s="46"/>
      <c r="T156" s="46"/>
      <c r="U156" s="46"/>
    </row>
    <row r="157" spans="1:21" s="41" customFormat="1">
      <c r="A157" s="362" t="s">
        <v>5</v>
      </c>
      <c r="B157" s="363" t="s">
        <v>1108</v>
      </c>
      <c r="C157" s="364"/>
      <c r="D157" s="345"/>
      <c r="E157" s="345"/>
      <c r="F157" s="345"/>
      <c r="G157" s="345"/>
      <c r="H157" s="345"/>
      <c r="I157" s="345"/>
      <c r="J157" s="345"/>
      <c r="K157" s="345"/>
      <c r="L157" s="345"/>
      <c r="M157" s="345"/>
      <c r="N157" s="345"/>
      <c r="O157" s="345"/>
      <c r="P157" s="345"/>
      <c r="Q157" s="345"/>
      <c r="R157" s="345"/>
      <c r="S157" s="345"/>
      <c r="T157" s="345"/>
      <c r="U157" s="345"/>
    </row>
    <row r="158" spans="1:21">
      <c r="A158" s="338" t="s">
        <v>7</v>
      </c>
      <c r="B158" s="46" t="s">
        <v>779</v>
      </c>
      <c r="C158" s="337"/>
      <c r="D158" s="46"/>
      <c r="E158" s="46"/>
      <c r="F158" s="46"/>
      <c r="G158" s="46"/>
      <c r="H158" s="46"/>
      <c r="I158" s="46"/>
      <c r="J158" s="46"/>
      <c r="K158" s="46"/>
      <c r="L158" s="46"/>
      <c r="M158" s="46"/>
      <c r="N158" s="46"/>
      <c r="O158" s="46"/>
      <c r="P158" s="46"/>
      <c r="Q158" s="46"/>
      <c r="R158" s="46"/>
      <c r="S158" s="46"/>
      <c r="T158" s="46"/>
      <c r="U158" s="46"/>
    </row>
    <row r="159" spans="1:21">
      <c r="A159" s="416" t="s">
        <v>9</v>
      </c>
      <c r="B159" s="46" t="s">
        <v>1109</v>
      </c>
      <c r="C159" s="337"/>
      <c r="D159" s="46"/>
      <c r="E159" s="46"/>
      <c r="F159" s="46"/>
      <c r="G159" s="46"/>
      <c r="H159" s="46"/>
      <c r="I159" s="46"/>
      <c r="J159" s="46"/>
      <c r="K159" s="46"/>
      <c r="L159" s="46"/>
      <c r="M159" s="46"/>
      <c r="N159" s="46"/>
      <c r="O159" s="46"/>
      <c r="P159" s="46"/>
      <c r="Q159" s="46"/>
      <c r="R159" s="46"/>
      <c r="S159" s="46"/>
      <c r="T159" s="46"/>
      <c r="U159" s="46"/>
    </row>
    <row r="160" spans="1:21" ht="15.75" customHeight="1">
      <c r="A160" s="338" t="s">
        <v>11</v>
      </c>
      <c r="B160" s="339" t="s">
        <v>789</v>
      </c>
      <c r="C160" s="46"/>
      <c r="D160" s="46"/>
      <c r="E160" s="46"/>
      <c r="F160" s="46"/>
      <c r="G160" s="46"/>
      <c r="H160" s="46"/>
      <c r="I160" s="46"/>
      <c r="J160" s="46"/>
      <c r="K160" s="46"/>
      <c r="L160" s="46"/>
      <c r="M160" s="46"/>
      <c r="N160" s="46"/>
      <c r="O160" s="46"/>
      <c r="P160" s="46"/>
      <c r="Q160" s="46"/>
      <c r="R160" s="46"/>
      <c r="S160" s="46"/>
      <c r="T160" s="46"/>
      <c r="U160" s="46"/>
    </row>
    <row r="161" spans="1:21">
      <c r="A161" s="338" t="s">
        <v>13</v>
      </c>
      <c r="B161" s="46" t="s">
        <v>14</v>
      </c>
      <c r="C161" s="46"/>
      <c r="D161" s="46"/>
      <c r="E161" s="46"/>
      <c r="F161" s="46"/>
      <c r="G161" s="46"/>
      <c r="H161" s="46"/>
      <c r="I161" s="46"/>
      <c r="J161" s="46"/>
      <c r="K161" s="46"/>
      <c r="L161" s="46"/>
      <c r="M161" s="46"/>
      <c r="N161" s="46"/>
      <c r="O161" s="46"/>
      <c r="P161" s="46"/>
      <c r="Q161" s="46"/>
      <c r="R161" s="46"/>
      <c r="S161" s="46"/>
      <c r="T161" s="46"/>
      <c r="U161" s="46"/>
    </row>
    <row r="162" spans="1:21">
      <c r="A162" s="338" t="s">
        <v>15</v>
      </c>
      <c r="B162" s="437">
        <f>B167</f>
        <v>5.3999999999999999E-2</v>
      </c>
      <c r="C162" s="46"/>
      <c r="D162" s="46"/>
      <c r="E162" s="46"/>
      <c r="F162" s="46"/>
      <c r="G162" s="46"/>
      <c r="H162" s="46"/>
      <c r="I162" s="46"/>
      <c r="J162" s="46"/>
      <c r="K162" s="46"/>
      <c r="L162" s="46"/>
      <c r="M162" s="46"/>
      <c r="N162" s="46"/>
      <c r="O162" s="46"/>
      <c r="P162" s="46"/>
      <c r="Q162" s="46"/>
      <c r="R162" s="46"/>
      <c r="S162" s="46"/>
      <c r="T162" s="46"/>
      <c r="U162" s="46"/>
    </row>
    <row r="163" spans="1:21">
      <c r="A163" s="338" t="s">
        <v>16</v>
      </c>
      <c r="B163" s="46" t="s">
        <v>17</v>
      </c>
      <c r="C163" s="46"/>
      <c r="D163" s="46"/>
      <c r="E163" s="46"/>
      <c r="F163" s="46"/>
      <c r="G163" s="46"/>
      <c r="H163" s="46"/>
      <c r="I163" s="46"/>
      <c r="J163" s="46"/>
      <c r="K163" s="46"/>
      <c r="L163" s="46"/>
      <c r="M163" s="46"/>
      <c r="N163" s="46"/>
      <c r="O163" s="46"/>
      <c r="P163" s="46"/>
      <c r="Q163" s="46"/>
      <c r="R163" s="46"/>
      <c r="S163" s="46"/>
      <c r="T163" s="46"/>
      <c r="U163" s="46"/>
    </row>
    <row r="164" spans="1:21">
      <c r="A164" s="338" t="s">
        <v>18</v>
      </c>
      <c r="B164" s="46" t="s">
        <v>113</v>
      </c>
      <c r="C164" s="46"/>
      <c r="D164" s="46"/>
      <c r="E164" s="46"/>
      <c r="F164" s="46"/>
      <c r="G164" s="46"/>
      <c r="H164" s="46"/>
      <c r="I164" s="46"/>
      <c r="J164" s="46"/>
      <c r="K164" s="46"/>
      <c r="L164" s="46"/>
      <c r="M164" s="46"/>
      <c r="N164" s="46"/>
      <c r="O164" s="46"/>
      <c r="P164" s="46"/>
      <c r="Q164" s="46"/>
      <c r="R164" s="46"/>
      <c r="S164" s="46"/>
      <c r="T164" s="46"/>
      <c r="U164" s="46"/>
    </row>
    <row r="165" spans="1:21">
      <c r="A165" s="335" t="s">
        <v>19</v>
      </c>
      <c r="B165" s="46"/>
      <c r="C165" s="46"/>
      <c r="D165" s="46"/>
      <c r="E165" s="46"/>
      <c r="F165" s="46"/>
      <c r="G165" s="46"/>
      <c r="H165" s="46"/>
      <c r="I165" s="46"/>
      <c r="J165" s="46"/>
      <c r="K165" s="46"/>
      <c r="L165" s="46"/>
      <c r="M165" s="46"/>
      <c r="N165" s="46"/>
      <c r="O165" s="46"/>
      <c r="P165" s="46"/>
      <c r="Q165" s="46"/>
      <c r="R165" s="46"/>
      <c r="S165" s="46"/>
      <c r="T165" s="46"/>
      <c r="U165" s="46"/>
    </row>
    <row r="166" spans="1:21">
      <c r="A166" s="336" t="s">
        <v>20</v>
      </c>
      <c r="B166" s="336" t="s">
        <v>21</v>
      </c>
      <c r="C166" s="336" t="s">
        <v>18</v>
      </c>
      <c r="D166" s="336" t="s">
        <v>22</v>
      </c>
      <c r="E166" s="336" t="s">
        <v>7</v>
      </c>
      <c r="F166" s="336" t="s">
        <v>13</v>
      </c>
      <c r="G166" s="336" t="s">
        <v>16</v>
      </c>
      <c r="H166" s="336" t="s">
        <v>23</v>
      </c>
      <c r="I166" s="336" t="s">
        <v>24</v>
      </c>
      <c r="J166" s="336" t="s">
        <v>25</v>
      </c>
      <c r="K166" s="336" t="s">
        <v>26</v>
      </c>
      <c r="L166" s="336" t="s">
        <v>27</v>
      </c>
      <c r="M166" s="336" t="s">
        <v>28</v>
      </c>
      <c r="N166" s="336" t="s">
        <v>11</v>
      </c>
      <c r="O166" s="46"/>
      <c r="P166" s="46"/>
      <c r="Q166" s="46"/>
      <c r="R166" s="46"/>
      <c r="S166" s="46"/>
      <c r="T166" s="46"/>
      <c r="U166" s="46"/>
    </row>
    <row r="167" spans="1:21">
      <c r="A167" s="46" t="s">
        <v>1108</v>
      </c>
      <c r="B167" s="407">
        <f>P167</f>
        <v>5.3999999999999999E-2</v>
      </c>
      <c r="C167" s="46" t="s">
        <v>113</v>
      </c>
      <c r="D167" s="400" t="s">
        <v>2</v>
      </c>
      <c r="E167" s="46" t="s">
        <v>29</v>
      </c>
      <c r="F167" s="32" t="s">
        <v>14</v>
      </c>
      <c r="G167" s="46" t="s">
        <v>30</v>
      </c>
      <c r="H167" s="46">
        <v>1</v>
      </c>
      <c r="I167" s="46">
        <f>B167</f>
        <v>5.3999999999999999E-2</v>
      </c>
      <c r="J167" s="46" t="s">
        <v>31</v>
      </c>
      <c r="K167" s="46" t="s">
        <v>31</v>
      </c>
      <c r="L167" s="46" t="s">
        <v>31</v>
      </c>
      <c r="M167" s="46" t="s">
        <v>31</v>
      </c>
      <c r="N167" s="46"/>
      <c r="O167" s="46"/>
      <c r="P167" s="461">
        <v>5.3999999999999999E-2</v>
      </c>
      <c r="Q167" s="46"/>
      <c r="R167" s="46"/>
      <c r="S167" s="46"/>
      <c r="T167" s="46"/>
      <c r="U167" s="46"/>
    </row>
    <row r="168" spans="1:21">
      <c r="A168" s="62" t="s">
        <v>1110</v>
      </c>
      <c r="B168" s="407">
        <f>P168</f>
        <v>5.3999999999999999E-2</v>
      </c>
      <c r="C168" s="46" t="s">
        <v>113</v>
      </c>
      <c r="D168" s="400" t="s">
        <v>2</v>
      </c>
      <c r="E168" s="46" t="s">
        <v>29</v>
      </c>
      <c r="F168" s="32" t="s">
        <v>14</v>
      </c>
      <c r="G168" s="46" t="s">
        <v>33</v>
      </c>
      <c r="H168" s="46">
        <v>1</v>
      </c>
      <c r="I168" s="46">
        <f>B168</f>
        <v>5.3999999999999999E-2</v>
      </c>
      <c r="J168" s="46" t="s">
        <v>31</v>
      </c>
      <c r="K168" s="46" t="s">
        <v>31</v>
      </c>
      <c r="L168" s="46" t="s">
        <v>31</v>
      </c>
      <c r="M168" s="46" t="s">
        <v>31</v>
      </c>
      <c r="N168" s="46"/>
      <c r="O168" s="46"/>
      <c r="P168" s="461">
        <v>5.3999999999999999E-2</v>
      </c>
      <c r="Q168" s="46"/>
      <c r="R168" s="46"/>
      <c r="S168" s="46"/>
      <c r="T168" s="46"/>
      <c r="U168" s="46"/>
    </row>
    <row r="169" spans="1:21">
      <c r="A169" s="338" t="s">
        <v>75</v>
      </c>
      <c r="B169" s="342">
        <f>R169</f>
        <v>0.3</v>
      </c>
      <c r="C169" s="46" t="s">
        <v>39</v>
      </c>
      <c r="D169" s="46" t="s">
        <v>40</v>
      </c>
      <c r="E169" s="46" t="s">
        <v>29</v>
      </c>
      <c r="F169" s="32" t="s">
        <v>35</v>
      </c>
      <c r="G169" s="46" t="s">
        <v>33</v>
      </c>
      <c r="H169" s="46">
        <v>2</v>
      </c>
      <c r="I169" s="46">
        <f t="shared" ref="I169:I173" si="9">LN(B169)</f>
        <v>-1.2039728043259361</v>
      </c>
      <c r="J169" s="46">
        <v>0.20928449536456342</v>
      </c>
      <c r="K169" s="46" t="s">
        <v>31</v>
      </c>
      <c r="L169" s="46" t="s">
        <v>31</v>
      </c>
      <c r="M169" s="46" t="s">
        <v>31</v>
      </c>
      <c r="N169" s="46"/>
      <c r="O169" s="375" t="s">
        <v>216</v>
      </c>
      <c r="P169" s="406">
        <v>0.3</v>
      </c>
      <c r="Q169" s="46" t="s">
        <v>216</v>
      </c>
      <c r="R169" s="342">
        <f>P169</f>
        <v>0.3</v>
      </c>
      <c r="S169" s="46"/>
      <c r="T169" s="46"/>
      <c r="U169" s="46"/>
    </row>
    <row r="170" spans="1:21">
      <c r="A170" s="47" t="s">
        <v>791</v>
      </c>
      <c r="B170" s="46">
        <f>R170</f>
        <v>9.300000000000001E-3</v>
      </c>
      <c r="C170" s="46" t="s">
        <v>37</v>
      </c>
      <c r="D170" s="46" t="s">
        <v>40</v>
      </c>
      <c r="E170" s="46" t="s">
        <v>29</v>
      </c>
      <c r="F170" s="32" t="s">
        <v>35</v>
      </c>
      <c r="G170" s="46" t="s">
        <v>33</v>
      </c>
      <c r="H170" s="46">
        <v>2</v>
      </c>
      <c r="I170" s="46">
        <f t="shared" si="9"/>
        <v>-4.6777408788229264</v>
      </c>
      <c r="J170" s="46">
        <v>0.20928449536456342</v>
      </c>
      <c r="K170" s="46" t="s">
        <v>31</v>
      </c>
      <c r="L170" s="46" t="s">
        <v>31</v>
      </c>
      <c r="M170" s="46" t="s">
        <v>31</v>
      </c>
      <c r="N170" s="46"/>
      <c r="O170" s="393" t="s">
        <v>575</v>
      </c>
      <c r="P170" s="406">
        <v>9.3000000000000007</v>
      </c>
      <c r="Q170" s="46" t="s">
        <v>221</v>
      </c>
      <c r="R170" s="46">
        <f>0.001*P170</f>
        <v>9.300000000000001E-3</v>
      </c>
      <c r="S170" s="46"/>
      <c r="T170" s="46"/>
      <c r="U170" s="46"/>
    </row>
    <row r="171" spans="1:21">
      <c r="A171" s="47" t="s">
        <v>546</v>
      </c>
      <c r="B171" s="46">
        <f>R171</f>
        <v>1.4E-3</v>
      </c>
      <c r="C171" s="46" t="s">
        <v>37</v>
      </c>
      <c r="D171" s="46" t="s">
        <v>40</v>
      </c>
      <c r="E171" s="46" t="s">
        <v>29</v>
      </c>
      <c r="F171" s="32" t="s">
        <v>58</v>
      </c>
      <c r="G171" s="46" t="s">
        <v>33</v>
      </c>
      <c r="H171" s="46">
        <v>2</v>
      </c>
      <c r="I171" s="46">
        <f t="shared" si="9"/>
        <v>-6.5712830423609239</v>
      </c>
      <c r="J171" s="46">
        <v>0.20928449536456342</v>
      </c>
      <c r="K171" s="46" t="s">
        <v>31</v>
      </c>
      <c r="L171" s="46" t="s">
        <v>31</v>
      </c>
      <c r="M171" s="46" t="s">
        <v>31</v>
      </c>
      <c r="N171" s="46"/>
      <c r="O171" s="393" t="s">
        <v>575</v>
      </c>
      <c r="P171" s="406">
        <v>1.4</v>
      </c>
      <c r="Q171" s="46" t="s">
        <v>221</v>
      </c>
      <c r="R171" s="46">
        <f t="shared" ref="R171:R173" si="10">0.001*P171</f>
        <v>1.4E-3</v>
      </c>
      <c r="S171" s="46"/>
      <c r="T171" s="46"/>
      <c r="U171" s="46"/>
    </row>
    <row r="172" spans="1:21">
      <c r="A172" s="338" t="s">
        <v>792</v>
      </c>
      <c r="B172" s="46">
        <f>R172</f>
        <v>4.5700000000000005E-2</v>
      </c>
      <c r="C172" s="46" t="s">
        <v>37</v>
      </c>
      <c r="D172" s="46" t="s">
        <v>40</v>
      </c>
      <c r="E172" s="46" t="s">
        <v>29</v>
      </c>
      <c r="F172" s="32" t="s">
        <v>741</v>
      </c>
      <c r="G172" s="46" t="s">
        <v>33</v>
      </c>
      <c r="H172" s="46">
        <v>2</v>
      </c>
      <c r="I172" s="46">
        <f t="shared" si="9"/>
        <v>-3.0856569810819781</v>
      </c>
      <c r="J172" s="46">
        <v>0.20928449536456342</v>
      </c>
      <c r="K172" s="46" t="s">
        <v>31</v>
      </c>
      <c r="L172" s="46" t="s">
        <v>31</v>
      </c>
      <c r="M172" s="46" t="s">
        <v>31</v>
      </c>
      <c r="N172" s="46"/>
      <c r="O172" s="393" t="s">
        <v>575</v>
      </c>
      <c r="P172" s="406">
        <v>45.7</v>
      </c>
      <c r="Q172" s="46" t="s">
        <v>221</v>
      </c>
      <c r="R172" s="46">
        <f t="shared" si="10"/>
        <v>4.5700000000000005E-2</v>
      </c>
      <c r="S172" s="46"/>
      <c r="T172" s="46"/>
      <c r="U172" s="46"/>
    </row>
    <row r="173" spans="1:21">
      <c r="A173" s="46" t="s">
        <v>777</v>
      </c>
      <c r="B173" s="46">
        <f>R173</f>
        <v>1.0699999999999999E-2</v>
      </c>
      <c r="C173" s="46" t="s">
        <v>37</v>
      </c>
      <c r="D173" s="400" t="s">
        <v>2</v>
      </c>
      <c r="E173" s="46" t="s">
        <v>29</v>
      </c>
      <c r="F173" s="32" t="s">
        <v>741</v>
      </c>
      <c r="G173" s="46" t="s">
        <v>33</v>
      </c>
      <c r="H173" s="46">
        <v>2</v>
      </c>
      <c r="I173" s="46">
        <f t="shared" si="9"/>
        <v>-4.5375115375142769</v>
      </c>
      <c r="J173" s="46">
        <v>0.20928449536456342</v>
      </c>
      <c r="K173" s="46" t="s">
        <v>31</v>
      </c>
      <c r="L173" s="46" t="s">
        <v>31</v>
      </c>
      <c r="M173" s="46" t="s">
        <v>31</v>
      </c>
      <c r="N173" s="46"/>
      <c r="O173" s="439" t="s">
        <v>575</v>
      </c>
      <c r="P173" s="411">
        <v>10.7</v>
      </c>
      <c r="Q173" s="46" t="s">
        <v>221</v>
      </c>
      <c r="R173" s="46">
        <f t="shared" si="10"/>
        <v>1.0699999999999999E-2</v>
      </c>
      <c r="S173" s="46"/>
      <c r="T173" s="46"/>
      <c r="U173" s="46"/>
    </row>
    <row r="174" spans="1:21" s="41" customFormat="1">
      <c r="A174" s="362" t="s">
        <v>5</v>
      </c>
      <c r="B174" s="363" t="s">
        <v>1110</v>
      </c>
      <c r="C174" s="364"/>
      <c r="D174" s="345"/>
      <c r="E174" s="345"/>
      <c r="F174" s="345"/>
      <c r="G174" s="345"/>
      <c r="H174" s="345"/>
      <c r="I174" s="345"/>
      <c r="J174" s="345"/>
      <c r="K174" s="345"/>
      <c r="L174" s="345"/>
      <c r="M174" s="345"/>
      <c r="N174" s="345"/>
      <c r="O174" s="345"/>
      <c r="P174" s="345"/>
      <c r="Q174" s="345"/>
      <c r="R174" s="345"/>
      <c r="S174" s="345"/>
      <c r="T174" s="345"/>
      <c r="U174" s="345"/>
    </row>
    <row r="175" spans="1:21">
      <c r="A175" s="338" t="s">
        <v>7</v>
      </c>
      <c r="B175" s="46" t="s">
        <v>779</v>
      </c>
      <c r="C175" s="337"/>
      <c r="D175" s="46"/>
      <c r="E175" s="46"/>
      <c r="F175" s="46"/>
      <c r="G175" s="46"/>
      <c r="H175" s="46"/>
      <c r="I175" s="46"/>
      <c r="J175" s="46"/>
      <c r="K175" s="46"/>
      <c r="L175" s="46"/>
      <c r="M175" s="46"/>
      <c r="N175" s="46"/>
      <c r="O175" s="46"/>
      <c r="P175" s="46"/>
      <c r="Q175" s="46"/>
      <c r="R175" s="46"/>
      <c r="S175" s="46"/>
      <c r="T175" s="46"/>
      <c r="U175" s="46"/>
    </row>
    <row r="176" spans="1:21">
      <c r="A176" s="416" t="s">
        <v>9</v>
      </c>
      <c r="B176" s="46" t="s">
        <v>1111</v>
      </c>
      <c r="C176" s="337"/>
      <c r="D176" s="46"/>
      <c r="E176" s="46"/>
      <c r="F176" s="46"/>
      <c r="G176" s="46"/>
      <c r="H176" s="46"/>
      <c r="I176" s="46"/>
      <c r="J176" s="46"/>
      <c r="K176" s="46"/>
      <c r="L176" s="46"/>
      <c r="M176" s="46"/>
      <c r="N176" s="46"/>
      <c r="O176" s="46"/>
      <c r="P176" s="46"/>
      <c r="Q176" s="46"/>
      <c r="R176" s="46"/>
      <c r="S176" s="46"/>
      <c r="T176" s="46"/>
      <c r="U176" s="46"/>
    </row>
    <row r="177" spans="1:21" ht="15.75" customHeight="1">
      <c r="A177" s="338" t="s">
        <v>11</v>
      </c>
      <c r="B177" s="339" t="s">
        <v>789</v>
      </c>
      <c r="C177" s="46"/>
      <c r="D177" s="46"/>
      <c r="E177" s="46"/>
      <c r="F177" s="46"/>
      <c r="G177" s="46"/>
      <c r="H177" s="46"/>
      <c r="I177" s="46"/>
      <c r="J177" s="46"/>
      <c r="K177" s="46"/>
      <c r="L177" s="46"/>
      <c r="M177" s="46"/>
      <c r="N177" s="46"/>
      <c r="O177" s="46"/>
      <c r="P177" s="46"/>
      <c r="Q177" s="46"/>
      <c r="R177" s="46"/>
      <c r="S177" s="46"/>
      <c r="T177" s="46"/>
      <c r="U177" s="46"/>
    </row>
    <row r="178" spans="1:21">
      <c r="A178" s="338" t="s">
        <v>13</v>
      </c>
      <c r="B178" s="46" t="s">
        <v>14</v>
      </c>
      <c r="C178" s="46"/>
      <c r="D178" s="46"/>
      <c r="E178" s="46"/>
      <c r="F178" s="46"/>
      <c r="G178" s="46"/>
      <c r="H178" s="46"/>
      <c r="I178" s="46"/>
      <c r="J178" s="46"/>
      <c r="K178" s="46"/>
      <c r="L178" s="46"/>
      <c r="M178" s="46"/>
      <c r="N178" s="46"/>
      <c r="O178" s="46"/>
      <c r="P178" s="46"/>
      <c r="Q178" s="46"/>
      <c r="R178" s="46"/>
      <c r="S178" s="46"/>
      <c r="T178" s="46"/>
      <c r="U178" s="46"/>
    </row>
    <row r="179" spans="1:21">
      <c r="A179" s="338" t="s">
        <v>15</v>
      </c>
      <c r="B179" s="417">
        <f>B184</f>
        <v>5.3999999999999999E-2</v>
      </c>
      <c r="C179" s="46"/>
      <c r="D179" s="46"/>
      <c r="E179" s="46"/>
      <c r="F179" s="46"/>
      <c r="G179" s="46"/>
      <c r="H179" s="46"/>
      <c r="I179" s="46"/>
      <c r="J179" s="46"/>
      <c r="K179" s="46"/>
      <c r="L179" s="46"/>
      <c r="M179" s="46"/>
      <c r="N179" s="46"/>
      <c r="O179" s="46"/>
      <c r="P179" s="46"/>
      <c r="Q179" s="46"/>
      <c r="R179" s="46"/>
      <c r="S179" s="46"/>
      <c r="T179" s="46"/>
      <c r="U179" s="46"/>
    </row>
    <row r="180" spans="1:21">
      <c r="A180" s="338" t="s">
        <v>16</v>
      </c>
      <c r="B180" s="46" t="s">
        <v>17</v>
      </c>
      <c r="C180" s="46"/>
      <c r="D180" s="46"/>
      <c r="E180" s="46"/>
      <c r="F180" s="46"/>
      <c r="G180" s="46"/>
      <c r="H180" s="46"/>
      <c r="I180" s="46"/>
      <c r="J180" s="46"/>
      <c r="K180" s="46"/>
      <c r="L180" s="46"/>
      <c r="M180" s="46"/>
      <c r="N180" s="46"/>
      <c r="O180" s="46"/>
      <c r="P180" s="46"/>
      <c r="Q180" s="46"/>
      <c r="R180" s="46"/>
      <c r="S180" s="46"/>
      <c r="T180" s="46"/>
      <c r="U180" s="46"/>
    </row>
    <row r="181" spans="1:21">
      <c r="A181" s="338" t="s">
        <v>18</v>
      </c>
      <c r="B181" s="46" t="s">
        <v>113</v>
      </c>
      <c r="C181" s="46"/>
      <c r="D181" s="46"/>
      <c r="E181" s="46"/>
      <c r="F181" s="46"/>
      <c r="G181" s="46"/>
      <c r="H181" s="46"/>
      <c r="I181" s="46"/>
      <c r="J181" s="46"/>
      <c r="K181" s="46"/>
      <c r="L181" s="46"/>
      <c r="M181" s="46"/>
      <c r="N181" s="46"/>
      <c r="O181" s="46"/>
      <c r="P181" s="46"/>
      <c r="Q181" s="46"/>
      <c r="R181" s="46"/>
      <c r="S181" s="46"/>
      <c r="T181" s="46"/>
      <c r="U181" s="46"/>
    </row>
    <row r="182" spans="1:21">
      <c r="A182" s="335" t="s">
        <v>19</v>
      </c>
      <c r="B182" s="46"/>
      <c r="C182" s="46"/>
      <c r="D182" s="46"/>
      <c r="E182" s="46"/>
      <c r="F182" s="46"/>
      <c r="G182" s="46"/>
      <c r="H182" s="46"/>
      <c r="I182" s="46"/>
      <c r="J182" s="46"/>
      <c r="K182" s="46"/>
      <c r="L182" s="46"/>
      <c r="M182" s="46"/>
      <c r="N182" s="46"/>
      <c r="O182" s="46"/>
      <c r="P182" s="46"/>
      <c r="Q182" s="46"/>
      <c r="R182" s="46"/>
      <c r="S182" s="46"/>
      <c r="T182" s="46"/>
      <c r="U182" s="46"/>
    </row>
    <row r="183" spans="1:21">
      <c r="A183" s="336" t="s">
        <v>20</v>
      </c>
      <c r="B183" s="336" t="s">
        <v>21</v>
      </c>
      <c r="C183" s="336" t="s">
        <v>18</v>
      </c>
      <c r="D183" s="336" t="s">
        <v>22</v>
      </c>
      <c r="E183" s="336" t="s">
        <v>7</v>
      </c>
      <c r="F183" s="336" t="s">
        <v>13</v>
      </c>
      <c r="G183" s="336" t="s">
        <v>16</v>
      </c>
      <c r="H183" s="336" t="s">
        <v>23</v>
      </c>
      <c r="I183" s="336" t="s">
        <v>24</v>
      </c>
      <c r="J183" s="336" t="s">
        <v>25</v>
      </c>
      <c r="K183" s="336" t="s">
        <v>26</v>
      </c>
      <c r="L183" s="336" t="s">
        <v>27</v>
      </c>
      <c r="M183" s="336" t="s">
        <v>28</v>
      </c>
      <c r="N183" s="336" t="s">
        <v>11</v>
      </c>
      <c r="O183" s="46"/>
      <c r="P183" s="46"/>
      <c r="Q183" s="46"/>
      <c r="R183" s="46"/>
      <c r="S183" s="46"/>
      <c r="T183" s="46"/>
      <c r="U183" s="46"/>
    </row>
    <row r="184" spans="1:21">
      <c r="A184" s="62" t="s">
        <v>1110</v>
      </c>
      <c r="B184" s="407">
        <v>5.3999999999999999E-2</v>
      </c>
      <c r="C184" s="46" t="s">
        <v>113</v>
      </c>
      <c r="D184" s="400" t="s">
        <v>2</v>
      </c>
      <c r="E184" s="46" t="s">
        <v>29</v>
      </c>
      <c r="F184" s="32" t="s">
        <v>14</v>
      </c>
      <c r="G184" s="46" t="s">
        <v>30</v>
      </c>
      <c r="H184" s="46">
        <v>1</v>
      </c>
      <c r="I184" s="46">
        <f>B184</f>
        <v>5.3999999999999999E-2</v>
      </c>
      <c r="J184" s="46" t="s">
        <v>31</v>
      </c>
      <c r="K184" s="46" t="s">
        <v>31</v>
      </c>
      <c r="L184" s="46" t="s">
        <v>31</v>
      </c>
      <c r="M184" s="46" t="s">
        <v>31</v>
      </c>
      <c r="N184" s="46"/>
      <c r="O184" s="46"/>
      <c r="P184" s="46"/>
      <c r="Q184" s="46"/>
      <c r="R184" s="46"/>
      <c r="S184" s="46"/>
      <c r="T184" s="46"/>
      <c r="U184" s="46"/>
    </row>
    <row r="185" spans="1:21">
      <c r="A185" s="46" t="s">
        <v>1112</v>
      </c>
      <c r="B185" s="407">
        <v>0.1</v>
      </c>
      <c r="C185" s="46" t="s">
        <v>113</v>
      </c>
      <c r="D185" s="400" t="s">
        <v>2</v>
      </c>
      <c r="E185" s="46" t="s">
        <v>29</v>
      </c>
      <c r="F185" s="32" t="s">
        <v>14</v>
      </c>
      <c r="G185" s="46" t="s">
        <v>33</v>
      </c>
      <c r="H185" s="46">
        <v>1</v>
      </c>
      <c r="I185" s="46">
        <f>B185</f>
        <v>0.1</v>
      </c>
      <c r="J185" s="46" t="s">
        <v>31</v>
      </c>
      <c r="K185" s="46" t="s">
        <v>31</v>
      </c>
      <c r="L185" s="46" t="s">
        <v>31</v>
      </c>
      <c r="M185" s="46" t="s">
        <v>31</v>
      </c>
      <c r="N185" s="46"/>
      <c r="O185" s="46"/>
      <c r="P185" s="46"/>
      <c r="Q185" s="46"/>
      <c r="R185" s="46"/>
      <c r="S185" s="46"/>
      <c r="T185" s="46"/>
      <c r="U185" s="46"/>
    </row>
    <row r="186" spans="1:21">
      <c r="A186" s="338" t="s">
        <v>75</v>
      </c>
      <c r="B186" s="342">
        <f>P186</f>
        <v>3.1799999999999997</v>
      </c>
      <c r="C186" s="46" t="s">
        <v>39</v>
      </c>
      <c r="D186" s="46" t="s">
        <v>40</v>
      </c>
      <c r="E186" s="46" t="s">
        <v>29</v>
      </c>
      <c r="F186" s="32" t="s">
        <v>35</v>
      </c>
      <c r="G186" s="46" t="s">
        <v>33</v>
      </c>
      <c r="H186" s="46">
        <v>2</v>
      </c>
      <c r="I186" s="46">
        <f t="shared" ref="I186:I187" si="11">LN(B186)</f>
        <v>1.1568811967920853</v>
      </c>
      <c r="J186" s="46">
        <v>0.20928449536456342</v>
      </c>
      <c r="K186" s="46" t="s">
        <v>31</v>
      </c>
      <c r="L186" s="46" t="s">
        <v>31</v>
      </c>
      <c r="M186" s="46" t="s">
        <v>31</v>
      </c>
      <c r="N186" s="46"/>
      <c r="O186" s="393" t="s">
        <v>216</v>
      </c>
      <c r="P186" s="120">
        <f>0.99+2.19</f>
        <v>3.1799999999999997</v>
      </c>
      <c r="Q186" s="46"/>
      <c r="R186" s="46"/>
      <c r="S186" s="46"/>
      <c r="T186" s="46"/>
      <c r="U186" s="46"/>
    </row>
    <row r="187" spans="1:21">
      <c r="A187" s="338" t="s">
        <v>792</v>
      </c>
      <c r="B187" s="46">
        <f>R187</f>
        <v>6.4000000000000003E-3</v>
      </c>
      <c r="C187" s="46" t="s">
        <v>37</v>
      </c>
      <c r="D187" s="46" t="s">
        <v>40</v>
      </c>
      <c r="E187" s="46" t="s">
        <v>29</v>
      </c>
      <c r="F187" s="32" t="s">
        <v>741</v>
      </c>
      <c r="G187" s="46" t="s">
        <v>33</v>
      </c>
      <c r="H187" s="46">
        <v>2</v>
      </c>
      <c r="I187" s="46">
        <f t="shared" si="11"/>
        <v>-5.0514572886165112</v>
      </c>
      <c r="J187" s="46">
        <v>0.20928449536456342</v>
      </c>
      <c r="K187" s="46" t="s">
        <v>31</v>
      </c>
      <c r="L187" s="46" t="s">
        <v>31</v>
      </c>
      <c r="M187" s="46" t="s">
        <v>31</v>
      </c>
      <c r="N187" s="46"/>
      <c r="O187" s="393" t="s">
        <v>575</v>
      </c>
      <c r="P187" s="120">
        <v>6.4</v>
      </c>
      <c r="Q187" s="46" t="s">
        <v>221</v>
      </c>
      <c r="R187" s="46">
        <f>P187*0.001</f>
        <v>6.4000000000000003E-3</v>
      </c>
      <c r="S187" s="46"/>
      <c r="T187" s="46"/>
      <c r="U187" s="46"/>
    </row>
    <row r="188" spans="1:21">
      <c r="A188" s="47" t="s">
        <v>530</v>
      </c>
      <c r="B188" s="46">
        <f>R188</f>
        <v>7.7999999999999996E-3</v>
      </c>
      <c r="C188" s="46" t="s">
        <v>37</v>
      </c>
      <c r="D188" s="46" t="s">
        <v>40</v>
      </c>
      <c r="E188" s="46" t="s">
        <v>29</v>
      </c>
      <c r="F188" s="46" t="s">
        <v>35</v>
      </c>
      <c r="G188" s="46" t="s">
        <v>33</v>
      </c>
      <c r="H188" s="46">
        <v>2</v>
      </c>
      <c r="I188" s="46">
        <f>LN(B188)</f>
        <v>-4.853631545286591</v>
      </c>
      <c r="J188" s="46">
        <v>0.20928449536456342</v>
      </c>
      <c r="K188" s="46" t="s">
        <v>31</v>
      </c>
      <c r="L188" s="46" t="s">
        <v>31</v>
      </c>
      <c r="M188" s="46" t="s">
        <v>31</v>
      </c>
      <c r="N188" s="46"/>
      <c r="O188" s="393" t="s">
        <v>575</v>
      </c>
      <c r="P188" s="120">
        <v>7.8</v>
      </c>
      <c r="Q188" s="46" t="s">
        <v>221</v>
      </c>
      <c r="R188" s="46">
        <f>P188*0.001</f>
        <v>7.7999999999999996E-3</v>
      </c>
      <c r="S188" s="46"/>
      <c r="T188" s="46"/>
      <c r="U188" s="46"/>
    </row>
    <row r="189" spans="1:21">
      <c r="A189" s="46" t="s">
        <v>777</v>
      </c>
      <c r="B189" s="46">
        <f>R189</f>
        <v>7.7999999999999996E-3</v>
      </c>
      <c r="C189" s="46" t="s">
        <v>37</v>
      </c>
      <c r="D189" s="400" t="s">
        <v>2</v>
      </c>
      <c r="E189" s="46" t="s">
        <v>29</v>
      </c>
      <c r="F189" s="32" t="s">
        <v>741</v>
      </c>
      <c r="G189" s="46" t="s">
        <v>33</v>
      </c>
      <c r="H189" s="46">
        <v>2</v>
      </c>
      <c r="I189" s="46">
        <f t="shared" ref="I189" si="12">LN(B189)</f>
        <v>-4.853631545286591</v>
      </c>
      <c r="J189" s="46">
        <v>0.20928449536456342</v>
      </c>
      <c r="K189" s="46" t="s">
        <v>31</v>
      </c>
      <c r="L189" s="46" t="s">
        <v>31</v>
      </c>
      <c r="M189" s="46" t="s">
        <v>31</v>
      </c>
      <c r="N189" s="46"/>
      <c r="O189" s="439" t="s">
        <v>575</v>
      </c>
      <c r="P189" s="155">
        <v>7.8</v>
      </c>
      <c r="Q189" s="46" t="s">
        <v>221</v>
      </c>
      <c r="R189" s="46">
        <f t="shared" ref="R189" si="13">0.001*P189</f>
        <v>7.7999999999999996E-3</v>
      </c>
      <c r="S189" s="46"/>
      <c r="T189" s="46"/>
      <c r="U189" s="46"/>
    </row>
    <row r="190" spans="1:21" s="41" customFormat="1">
      <c r="A190" s="362" t="s">
        <v>5</v>
      </c>
      <c r="B190" s="363" t="s">
        <v>1112</v>
      </c>
      <c r="C190" s="364"/>
      <c r="D190" s="345"/>
      <c r="E190" s="345"/>
      <c r="F190" s="345"/>
      <c r="G190" s="345"/>
      <c r="H190" s="345"/>
      <c r="I190" s="345"/>
      <c r="J190" s="345"/>
      <c r="K190" s="345"/>
      <c r="L190" s="345"/>
      <c r="M190" s="345"/>
      <c r="N190" s="345"/>
      <c r="O190" s="345"/>
      <c r="P190" s="345"/>
      <c r="Q190" s="345"/>
      <c r="R190" s="345"/>
      <c r="S190" s="345"/>
      <c r="T190" s="345"/>
      <c r="U190" s="345"/>
    </row>
    <row r="191" spans="1:21">
      <c r="A191" s="338" t="s">
        <v>7</v>
      </c>
      <c r="B191" s="46" t="s">
        <v>779</v>
      </c>
      <c r="C191" s="337"/>
      <c r="D191" s="46"/>
      <c r="E191" s="46"/>
      <c r="F191" s="46"/>
      <c r="G191" s="46"/>
      <c r="H191" s="46"/>
      <c r="I191" s="46"/>
      <c r="J191" s="46"/>
      <c r="K191" s="46"/>
      <c r="L191" s="46"/>
      <c r="M191" s="46"/>
      <c r="N191" s="46"/>
      <c r="O191" s="46"/>
      <c r="P191" s="46"/>
      <c r="Q191" s="46"/>
      <c r="R191" s="46"/>
      <c r="S191" s="46"/>
      <c r="T191" s="46"/>
      <c r="U191" s="46"/>
    </row>
    <row r="192" spans="1:21">
      <c r="A192" s="416" t="s">
        <v>9</v>
      </c>
      <c r="B192" s="46" t="s">
        <v>1113</v>
      </c>
      <c r="C192" s="337"/>
      <c r="D192" s="46"/>
      <c r="E192" s="46"/>
      <c r="F192" s="46"/>
      <c r="G192" s="46"/>
      <c r="H192" s="46"/>
      <c r="I192" s="46"/>
      <c r="J192" s="46"/>
      <c r="K192" s="46"/>
      <c r="L192" s="46"/>
      <c r="M192" s="46"/>
      <c r="N192" s="46"/>
      <c r="O192" s="46"/>
      <c r="P192" s="46"/>
      <c r="Q192" s="46"/>
      <c r="R192" s="46"/>
      <c r="S192" s="46"/>
      <c r="T192" s="46"/>
      <c r="U192" s="46"/>
    </row>
    <row r="193" spans="1:21" ht="15.75" customHeight="1">
      <c r="A193" s="338" t="s">
        <v>11</v>
      </c>
      <c r="B193" s="339" t="s">
        <v>789</v>
      </c>
      <c r="C193" s="46"/>
      <c r="D193" s="46"/>
      <c r="E193" s="46"/>
      <c r="F193" s="46"/>
      <c r="G193" s="46"/>
      <c r="H193" s="46"/>
      <c r="I193" s="46"/>
      <c r="J193" s="46"/>
      <c r="K193" s="46"/>
      <c r="L193" s="46"/>
      <c r="M193" s="46"/>
      <c r="N193" s="46"/>
      <c r="O193" s="46"/>
      <c r="P193" s="46"/>
      <c r="Q193" s="46"/>
      <c r="R193" s="46"/>
      <c r="S193" s="46"/>
      <c r="T193" s="46"/>
      <c r="U193" s="46"/>
    </row>
    <row r="194" spans="1:21">
      <c r="A194" s="338" t="s">
        <v>13</v>
      </c>
      <c r="B194" s="46" t="s">
        <v>14</v>
      </c>
      <c r="C194" s="46"/>
      <c r="D194" s="46"/>
      <c r="E194" s="46"/>
      <c r="F194" s="46"/>
      <c r="G194" s="46"/>
      <c r="H194" s="46"/>
      <c r="I194" s="46"/>
      <c r="J194" s="46"/>
      <c r="K194" s="46"/>
      <c r="L194" s="46"/>
      <c r="M194" s="46"/>
      <c r="N194" s="46"/>
      <c r="O194" s="46"/>
      <c r="P194" s="46"/>
      <c r="Q194" s="46"/>
      <c r="R194" s="46"/>
      <c r="S194" s="46"/>
      <c r="T194" s="46"/>
      <c r="U194" s="46"/>
    </row>
    <row r="195" spans="1:21">
      <c r="A195" s="338" t="s">
        <v>15</v>
      </c>
      <c r="B195" s="417">
        <f>B200</f>
        <v>0.82</v>
      </c>
      <c r="C195" s="46"/>
      <c r="D195" s="46"/>
      <c r="E195" s="46"/>
      <c r="F195" s="46"/>
      <c r="G195" s="46"/>
      <c r="H195" s="46"/>
      <c r="I195" s="46"/>
      <c r="J195" s="46"/>
      <c r="K195" s="46"/>
      <c r="L195" s="46"/>
      <c r="M195" s="46"/>
      <c r="N195" s="46"/>
      <c r="O195" s="46"/>
      <c r="P195" s="46"/>
      <c r="Q195" s="46"/>
      <c r="R195" s="46"/>
      <c r="S195" s="46"/>
      <c r="T195" s="46"/>
      <c r="U195" s="46"/>
    </row>
    <row r="196" spans="1:21">
      <c r="A196" s="338" t="s">
        <v>16</v>
      </c>
      <c r="B196" s="46" t="s">
        <v>17</v>
      </c>
      <c r="C196" s="46"/>
      <c r="D196" s="46"/>
      <c r="E196" s="46"/>
      <c r="F196" s="46"/>
      <c r="G196" s="46"/>
      <c r="H196" s="46"/>
      <c r="I196" s="46"/>
      <c r="J196" s="46"/>
      <c r="K196" s="46"/>
      <c r="L196" s="46"/>
      <c r="M196" s="46"/>
      <c r="N196" s="46"/>
      <c r="O196" s="46"/>
      <c r="P196" s="46"/>
      <c r="Q196" s="46"/>
      <c r="R196" s="336" t="s">
        <v>880</v>
      </c>
      <c r="S196" s="46"/>
      <c r="T196" s="46"/>
      <c r="U196" s="46"/>
    </row>
    <row r="197" spans="1:21">
      <c r="A197" s="338" t="s">
        <v>18</v>
      </c>
      <c r="B197" s="46" t="s">
        <v>113</v>
      </c>
      <c r="C197" s="46"/>
      <c r="D197" s="46"/>
      <c r="E197" s="46"/>
      <c r="F197" s="46"/>
      <c r="G197" s="46"/>
      <c r="H197" s="46"/>
      <c r="I197" s="46"/>
      <c r="J197" s="46"/>
      <c r="K197" s="46"/>
      <c r="L197" s="46"/>
      <c r="M197" s="46"/>
      <c r="N197" s="46"/>
      <c r="O197" s="46"/>
      <c r="P197" s="46"/>
      <c r="Q197" s="46"/>
      <c r="R197" s="46" t="s">
        <v>881</v>
      </c>
      <c r="S197" s="46">
        <v>8900</v>
      </c>
      <c r="T197" s="46" t="s">
        <v>882</v>
      </c>
      <c r="U197" s="46"/>
    </row>
    <row r="198" spans="1:21">
      <c r="A198" s="335" t="s">
        <v>19</v>
      </c>
      <c r="B198" s="46"/>
      <c r="C198" s="46"/>
      <c r="D198" s="46"/>
      <c r="E198" s="46"/>
      <c r="F198" s="46"/>
      <c r="G198" s="46"/>
      <c r="H198" s="46"/>
      <c r="I198" s="46"/>
      <c r="J198" s="46"/>
      <c r="K198" s="46"/>
      <c r="L198" s="46"/>
      <c r="M198" s="46"/>
      <c r="N198" s="46"/>
      <c r="O198" s="46"/>
      <c r="P198" s="46"/>
      <c r="Q198" s="46"/>
      <c r="R198" s="46" t="s">
        <v>883</v>
      </c>
      <c r="S198" s="46">
        <f>5*10^-6</f>
        <v>4.9999999999999996E-6</v>
      </c>
      <c r="T198" s="46" t="s">
        <v>884</v>
      </c>
      <c r="U198" s="46"/>
    </row>
    <row r="199" spans="1:21">
      <c r="A199" s="336" t="s">
        <v>20</v>
      </c>
      <c r="B199" s="336" t="s">
        <v>21</v>
      </c>
      <c r="C199" s="336" t="s">
        <v>18</v>
      </c>
      <c r="D199" s="336" t="s">
        <v>22</v>
      </c>
      <c r="E199" s="336" t="s">
        <v>7</v>
      </c>
      <c r="F199" s="336" t="s">
        <v>13</v>
      </c>
      <c r="G199" s="336" t="s">
        <v>16</v>
      </c>
      <c r="H199" s="336" t="s">
        <v>23</v>
      </c>
      <c r="I199" s="336" t="s">
        <v>24</v>
      </c>
      <c r="J199" s="336" t="s">
        <v>25</v>
      </c>
      <c r="K199" s="336" t="s">
        <v>26</v>
      </c>
      <c r="L199" s="336" t="s">
        <v>27</v>
      </c>
      <c r="M199" s="336" t="s">
        <v>28</v>
      </c>
      <c r="N199" s="336" t="s">
        <v>11</v>
      </c>
      <c r="O199" s="46"/>
      <c r="P199" s="46"/>
      <c r="Q199" s="46"/>
      <c r="R199" s="419" t="s">
        <v>885</v>
      </c>
      <c r="S199" s="420">
        <v>0.86</v>
      </c>
      <c r="T199" s="421" t="s">
        <v>886</v>
      </c>
      <c r="U199" s="46"/>
    </row>
    <row r="200" spans="1:21">
      <c r="A200" s="46" t="s">
        <v>1112</v>
      </c>
      <c r="B200" s="465">
        <v>0.82</v>
      </c>
      <c r="C200" s="46" t="s">
        <v>113</v>
      </c>
      <c r="D200" s="400" t="s">
        <v>2</v>
      </c>
      <c r="E200" s="46" t="s">
        <v>29</v>
      </c>
      <c r="F200" s="46" t="s">
        <v>14</v>
      </c>
      <c r="G200" s="46" t="s">
        <v>30</v>
      </c>
      <c r="H200" s="46">
        <v>1</v>
      </c>
      <c r="I200" s="46">
        <f>B200</f>
        <v>0.82</v>
      </c>
      <c r="J200" s="46" t="s">
        <v>31</v>
      </c>
      <c r="K200" s="46" t="s">
        <v>31</v>
      </c>
      <c r="L200" s="46" t="s">
        <v>31</v>
      </c>
      <c r="M200" s="46" t="s">
        <v>31</v>
      </c>
      <c r="N200" s="46"/>
      <c r="O200" s="441" t="s">
        <v>887</v>
      </c>
      <c r="P200" s="442">
        <f>B200*100</f>
        <v>82</v>
      </c>
      <c r="Q200" s="46"/>
      <c r="R200" s="46"/>
      <c r="S200" s="46"/>
      <c r="T200" s="46"/>
      <c r="U200" s="46"/>
    </row>
    <row r="201" spans="1:21">
      <c r="A201" s="46" t="s">
        <v>1114</v>
      </c>
      <c r="B201" s="465">
        <v>0.82</v>
      </c>
      <c r="C201" s="46" t="s">
        <v>113</v>
      </c>
      <c r="D201" s="400" t="s">
        <v>2</v>
      </c>
      <c r="E201" s="46" t="s">
        <v>29</v>
      </c>
      <c r="F201" s="46" t="s">
        <v>14</v>
      </c>
      <c r="G201" s="46" t="s">
        <v>33</v>
      </c>
      <c r="H201" s="46">
        <v>1</v>
      </c>
      <c r="I201" s="46">
        <f>B201</f>
        <v>0.82</v>
      </c>
      <c r="J201" s="46">
        <v>7.2284161474004766E-2</v>
      </c>
      <c r="K201" s="46" t="s">
        <v>31</v>
      </c>
      <c r="L201" s="46" t="s">
        <v>31</v>
      </c>
      <c r="M201" s="46" t="s">
        <v>31</v>
      </c>
      <c r="N201" s="46"/>
      <c r="O201" s="393" t="s">
        <v>887</v>
      </c>
      <c r="P201" s="406">
        <f>B201*100</f>
        <v>82</v>
      </c>
      <c r="Q201" s="46"/>
      <c r="R201" s="46" t="s">
        <v>548</v>
      </c>
      <c r="S201" s="46"/>
      <c r="T201" s="46"/>
      <c r="U201" s="402"/>
    </row>
    <row r="202" spans="1:21">
      <c r="A202" s="62" t="s">
        <v>1069</v>
      </c>
      <c r="B202" s="412">
        <f>T202</f>
        <v>1.4103999999999999</v>
      </c>
      <c r="C202" s="46" t="s">
        <v>37</v>
      </c>
      <c r="D202" s="400" t="s">
        <v>2</v>
      </c>
      <c r="E202" s="46" t="s">
        <v>29</v>
      </c>
      <c r="F202" s="32" t="s">
        <v>14</v>
      </c>
      <c r="G202" s="46" t="s">
        <v>33</v>
      </c>
      <c r="H202" s="46">
        <v>1</v>
      </c>
      <c r="I202" s="46">
        <f>B202</f>
        <v>1.4103999999999999</v>
      </c>
      <c r="J202" s="46">
        <v>7.2284161474004766E-2</v>
      </c>
      <c r="K202" s="46" t="s">
        <v>31</v>
      </c>
      <c r="L202" s="46" t="s">
        <v>31</v>
      </c>
      <c r="M202" s="46" t="s">
        <v>31</v>
      </c>
      <c r="N202" s="46"/>
      <c r="O202" s="62"/>
      <c r="P202" s="413"/>
      <c r="Q202" s="46"/>
      <c r="R202" s="422">
        <v>1.64</v>
      </c>
      <c r="S202" s="423" t="s">
        <v>605</v>
      </c>
      <c r="T202" s="422">
        <f>R202*S199</f>
        <v>1.4103999999999999</v>
      </c>
      <c r="U202" s="423" t="s">
        <v>221</v>
      </c>
    </row>
    <row r="203" spans="1:21">
      <c r="A203" s="338" t="s">
        <v>792</v>
      </c>
      <c r="B203" s="46">
        <f>P203</f>
        <v>13.2</v>
      </c>
      <c r="C203" s="46" t="s">
        <v>37</v>
      </c>
      <c r="D203" s="46" t="s">
        <v>40</v>
      </c>
      <c r="E203" s="46" t="s">
        <v>29</v>
      </c>
      <c r="F203" s="32" t="s">
        <v>741</v>
      </c>
      <c r="G203" s="46" t="s">
        <v>33</v>
      </c>
      <c r="H203" s="46">
        <v>2</v>
      </c>
      <c r="I203" s="46">
        <f t="shared" ref="I203" si="14">LN(B203)</f>
        <v>2.5802168295923251</v>
      </c>
      <c r="J203" s="46">
        <v>7.2284161474004766E-2</v>
      </c>
      <c r="K203" s="46" t="s">
        <v>31</v>
      </c>
      <c r="L203" s="46" t="s">
        <v>31</v>
      </c>
      <c r="M203" s="46" t="s">
        <v>31</v>
      </c>
      <c r="N203" s="46"/>
      <c r="O203" s="393" t="s">
        <v>221</v>
      </c>
      <c r="P203" s="406">
        <v>13.2</v>
      </c>
      <c r="Q203" s="46"/>
      <c r="R203" s="46"/>
      <c r="S203" s="46"/>
      <c r="T203" s="46"/>
      <c r="U203" s="46"/>
    </row>
    <row r="204" spans="1:21">
      <c r="A204" s="47" t="s">
        <v>869</v>
      </c>
      <c r="B204" s="443">
        <f>R204</f>
        <v>6.9999999999999997E-7</v>
      </c>
      <c r="C204" s="46" t="s">
        <v>37</v>
      </c>
      <c r="D204" s="46" t="s">
        <v>40</v>
      </c>
      <c r="E204" s="46" t="s">
        <v>29</v>
      </c>
      <c r="F204" s="32" t="s">
        <v>58</v>
      </c>
      <c r="G204" s="46" t="s">
        <v>33</v>
      </c>
      <c r="H204" s="46">
        <v>2</v>
      </c>
      <c r="I204" s="46">
        <f>LN(B204)</f>
        <v>-14.172185501903007</v>
      </c>
      <c r="J204" s="46">
        <v>7.2284161474004766E-2</v>
      </c>
      <c r="K204" s="46" t="s">
        <v>31</v>
      </c>
      <c r="L204" s="46" t="s">
        <v>31</v>
      </c>
      <c r="M204" s="46" t="s">
        <v>31</v>
      </c>
      <c r="N204" s="46"/>
      <c r="O204" s="408" t="s">
        <v>523</v>
      </c>
      <c r="P204" s="431">
        <v>0.7</v>
      </c>
      <c r="Q204" s="46" t="s">
        <v>221</v>
      </c>
      <c r="R204" s="46">
        <f>0.000001*P204</f>
        <v>6.9999999999999997E-7</v>
      </c>
      <c r="S204" s="46"/>
      <c r="T204" s="46"/>
      <c r="U204" s="46"/>
    </row>
    <row r="205" spans="1:21">
      <c r="A205" s="47" t="s">
        <v>226</v>
      </c>
      <c r="B205" s="443">
        <f>R205</f>
        <v>1.32E-2</v>
      </c>
      <c r="C205" s="46" t="s">
        <v>42</v>
      </c>
      <c r="D205" s="46" t="s">
        <v>40</v>
      </c>
      <c r="E205" s="46" t="s">
        <v>29</v>
      </c>
      <c r="F205" s="32" t="s">
        <v>741</v>
      </c>
      <c r="G205" s="46" t="s">
        <v>33</v>
      </c>
      <c r="H205" s="46">
        <v>2</v>
      </c>
      <c r="I205" s="46">
        <f t="shared" ref="I205" si="15">LN(B205)</f>
        <v>-4.3275384493898121</v>
      </c>
      <c r="J205" s="46">
        <v>7.2284161474004766E-2</v>
      </c>
      <c r="K205" s="46" t="s">
        <v>31</v>
      </c>
      <c r="L205" s="46" t="s">
        <v>31</v>
      </c>
      <c r="M205" s="46" t="s">
        <v>31</v>
      </c>
      <c r="N205" s="46"/>
      <c r="O205" s="410" t="s">
        <v>858</v>
      </c>
      <c r="P205" s="411">
        <v>13.2</v>
      </c>
      <c r="Q205" s="46" t="s">
        <v>219</v>
      </c>
      <c r="R205" s="46">
        <f>0.001*P205</f>
        <v>1.32E-2</v>
      </c>
      <c r="S205" s="46"/>
      <c r="T205" s="46"/>
      <c r="U205" s="46"/>
    </row>
    <row r="206" spans="1:21" s="41" customFormat="1">
      <c r="A206" s="362" t="s">
        <v>5</v>
      </c>
      <c r="B206" s="363" t="s">
        <v>1114</v>
      </c>
      <c r="C206" s="364"/>
      <c r="D206" s="345"/>
      <c r="E206" s="345"/>
      <c r="F206" s="345"/>
      <c r="G206" s="345"/>
      <c r="H206" s="345"/>
      <c r="I206" s="345"/>
      <c r="J206" s="345"/>
      <c r="K206" s="345"/>
      <c r="L206" s="345"/>
      <c r="M206" s="345"/>
      <c r="N206" s="345"/>
      <c r="O206" s="345"/>
      <c r="P206" s="345"/>
      <c r="Q206" s="345"/>
      <c r="R206" s="345"/>
      <c r="S206" s="345"/>
      <c r="T206" s="345"/>
      <c r="U206" s="345"/>
    </row>
    <row r="207" spans="1:21">
      <c r="A207" s="338" t="s">
        <v>7</v>
      </c>
      <c r="B207" s="46" t="s">
        <v>779</v>
      </c>
      <c r="C207" s="337"/>
      <c r="D207" s="46"/>
      <c r="E207" s="46"/>
      <c r="F207" s="46"/>
      <c r="G207" s="46"/>
      <c r="H207" s="46"/>
      <c r="I207" s="46"/>
      <c r="J207" s="46"/>
      <c r="K207" s="46"/>
      <c r="L207" s="46"/>
      <c r="M207" s="46"/>
      <c r="N207" s="46"/>
      <c r="O207" s="46"/>
      <c r="P207" s="46"/>
      <c r="Q207" s="46"/>
      <c r="R207" s="46"/>
      <c r="S207" s="46"/>
      <c r="T207" s="46"/>
      <c r="U207" s="46"/>
    </row>
    <row r="208" spans="1:21">
      <c r="A208" s="416" t="s">
        <v>9</v>
      </c>
      <c r="B208" s="46" t="s">
        <v>1115</v>
      </c>
      <c r="C208" s="337"/>
      <c r="D208" s="46"/>
      <c r="E208" s="46"/>
      <c r="F208" s="46"/>
      <c r="G208" s="46"/>
      <c r="H208" s="46"/>
      <c r="I208" s="46"/>
      <c r="J208" s="46"/>
      <c r="K208" s="46"/>
      <c r="L208" s="46"/>
      <c r="M208" s="46"/>
      <c r="N208" s="46"/>
      <c r="O208" s="46"/>
      <c r="P208" s="46"/>
      <c r="Q208" s="46"/>
      <c r="R208" s="46"/>
      <c r="S208" s="46"/>
      <c r="T208" s="46"/>
      <c r="U208" s="46"/>
    </row>
    <row r="209" spans="1:21" ht="15.75" customHeight="1">
      <c r="A209" s="338" t="s">
        <v>11</v>
      </c>
      <c r="B209" s="339" t="s">
        <v>789</v>
      </c>
      <c r="C209" s="46"/>
      <c r="D209" s="46"/>
      <c r="E209" s="46"/>
      <c r="F209" s="46"/>
      <c r="G209" s="46"/>
      <c r="H209" s="46"/>
      <c r="I209" s="46"/>
      <c r="J209" s="46"/>
      <c r="K209" s="46"/>
      <c r="L209" s="46"/>
      <c r="M209" s="46"/>
      <c r="N209" s="46"/>
      <c r="O209" s="46"/>
      <c r="P209" s="46"/>
      <c r="Q209" s="46"/>
      <c r="R209" s="46"/>
      <c r="S209" s="46"/>
      <c r="T209" s="46"/>
      <c r="U209" s="46"/>
    </row>
    <row r="210" spans="1:21">
      <c r="A210" s="338" t="s">
        <v>13</v>
      </c>
      <c r="B210" s="46" t="s">
        <v>14</v>
      </c>
      <c r="C210" s="46"/>
      <c r="D210" s="46"/>
      <c r="E210" s="46"/>
      <c r="F210" s="46"/>
      <c r="G210" s="46"/>
      <c r="H210" s="46"/>
      <c r="I210" s="46"/>
      <c r="J210" s="46"/>
      <c r="K210" s="46"/>
      <c r="L210" s="46"/>
      <c r="M210" s="46"/>
      <c r="N210" s="46"/>
      <c r="O210" s="46"/>
      <c r="P210" s="46"/>
      <c r="Q210" s="46"/>
      <c r="R210" s="46"/>
      <c r="S210" s="46"/>
      <c r="T210" s="46"/>
      <c r="U210" s="46"/>
    </row>
    <row r="211" spans="1:21">
      <c r="A211" s="338" t="s">
        <v>15</v>
      </c>
      <c r="B211" s="417">
        <f>B216</f>
        <v>0.82</v>
      </c>
      <c r="C211" s="46"/>
      <c r="D211" s="46"/>
      <c r="E211" s="46"/>
      <c r="F211" s="46"/>
      <c r="G211" s="46"/>
      <c r="H211" s="46"/>
      <c r="I211" s="46"/>
      <c r="J211" s="46"/>
      <c r="K211" s="46"/>
      <c r="L211" s="46"/>
      <c r="M211" s="46"/>
      <c r="N211" s="46"/>
      <c r="O211" s="46"/>
      <c r="P211" s="46"/>
      <c r="Q211" s="46"/>
      <c r="R211" s="46"/>
      <c r="S211" s="46"/>
      <c r="T211" s="46"/>
      <c r="U211" s="46"/>
    </row>
    <row r="212" spans="1:21">
      <c r="A212" s="338" t="s">
        <v>16</v>
      </c>
      <c r="B212" s="46" t="s">
        <v>17</v>
      </c>
      <c r="C212" s="46"/>
      <c r="D212" s="46"/>
      <c r="E212" s="46"/>
      <c r="F212" s="46"/>
      <c r="G212" s="46"/>
      <c r="H212" s="46"/>
      <c r="I212" s="46"/>
      <c r="J212" s="46"/>
      <c r="K212" s="46"/>
      <c r="L212" s="46"/>
      <c r="M212" s="46"/>
      <c r="N212" s="46"/>
      <c r="O212" s="46"/>
      <c r="P212" s="46"/>
      <c r="Q212" s="46"/>
      <c r="R212" s="46"/>
      <c r="S212" s="46"/>
      <c r="T212" s="46"/>
      <c r="U212" s="46"/>
    </row>
    <row r="213" spans="1:21">
      <c r="A213" s="338" t="s">
        <v>18</v>
      </c>
      <c r="B213" s="46" t="s">
        <v>113</v>
      </c>
      <c r="C213" s="46"/>
      <c r="D213" s="46"/>
      <c r="E213" s="46"/>
      <c r="F213" s="46"/>
      <c r="G213" s="46"/>
      <c r="H213" s="46"/>
      <c r="I213" s="46"/>
      <c r="J213" s="46"/>
      <c r="K213" s="46"/>
      <c r="L213" s="46"/>
      <c r="M213" s="46"/>
      <c r="N213" s="46"/>
      <c r="O213" s="46"/>
      <c r="P213" s="46"/>
      <c r="Q213" s="46"/>
      <c r="R213" s="46"/>
      <c r="S213" s="407"/>
      <c r="T213" s="46"/>
      <c r="U213" s="46"/>
    </row>
    <row r="214" spans="1:21">
      <c r="A214" s="335" t="s">
        <v>19</v>
      </c>
      <c r="B214" s="46"/>
      <c r="C214" s="46"/>
      <c r="D214" s="46"/>
      <c r="E214" s="46"/>
      <c r="F214" s="46"/>
      <c r="G214" s="46"/>
      <c r="H214" s="46"/>
      <c r="I214" s="46"/>
      <c r="J214" s="46"/>
      <c r="K214" s="46"/>
      <c r="L214" s="46"/>
      <c r="M214" s="46"/>
      <c r="N214" s="46"/>
      <c r="O214" s="46"/>
      <c r="P214" s="46"/>
      <c r="Q214" s="46"/>
      <c r="R214" s="46"/>
      <c r="S214" s="46"/>
      <c r="T214" s="46"/>
      <c r="U214" s="46"/>
    </row>
    <row r="215" spans="1:21">
      <c r="A215" s="336" t="s">
        <v>20</v>
      </c>
      <c r="B215" s="336" t="s">
        <v>21</v>
      </c>
      <c r="C215" s="336" t="s">
        <v>18</v>
      </c>
      <c r="D215" s="336" t="s">
        <v>22</v>
      </c>
      <c r="E215" s="336" t="s">
        <v>7</v>
      </c>
      <c r="F215" s="336" t="s">
        <v>13</v>
      </c>
      <c r="G215" s="336" t="s">
        <v>16</v>
      </c>
      <c r="H215" s="336" t="s">
        <v>23</v>
      </c>
      <c r="I215" s="336" t="s">
        <v>24</v>
      </c>
      <c r="J215" s="336" t="s">
        <v>25</v>
      </c>
      <c r="K215" s="336" t="s">
        <v>26</v>
      </c>
      <c r="L215" s="336" t="s">
        <v>27</v>
      </c>
      <c r="M215" s="336" t="s">
        <v>28</v>
      </c>
      <c r="N215" s="336" t="s">
        <v>11</v>
      </c>
      <c r="O215" s="46"/>
      <c r="P215" s="46"/>
      <c r="Q215" s="46"/>
      <c r="R215" s="46"/>
      <c r="S215" s="46"/>
      <c r="T215" s="46"/>
      <c r="U215" s="46"/>
    </row>
    <row r="216" spans="1:21">
      <c r="A216" s="46" t="s">
        <v>1114</v>
      </c>
      <c r="B216" s="407">
        <f>P216</f>
        <v>0.82</v>
      </c>
      <c r="C216" s="46" t="s">
        <v>113</v>
      </c>
      <c r="D216" s="400" t="s">
        <v>2</v>
      </c>
      <c r="E216" s="46" t="s">
        <v>29</v>
      </c>
      <c r="F216" s="46" t="s">
        <v>14</v>
      </c>
      <c r="G216" s="46" t="s">
        <v>30</v>
      </c>
      <c r="H216" s="46">
        <v>1</v>
      </c>
      <c r="I216" s="46">
        <f>B216</f>
        <v>0.82</v>
      </c>
      <c r="J216" s="46" t="s">
        <v>31</v>
      </c>
      <c r="K216" s="46" t="s">
        <v>31</v>
      </c>
      <c r="L216" s="46" t="s">
        <v>31</v>
      </c>
      <c r="M216" s="46" t="s">
        <v>31</v>
      </c>
      <c r="N216" s="46"/>
      <c r="O216" s="393" t="s">
        <v>605</v>
      </c>
      <c r="P216" s="182">
        <v>0.82</v>
      </c>
      <c r="Q216" s="46"/>
      <c r="R216" s="46"/>
      <c r="S216" s="46"/>
      <c r="T216" s="46"/>
      <c r="U216" s="46"/>
    </row>
    <row r="217" spans="1:21">
      <c r="A217" s="46" t="s">
        <v>1072</v>
      </c>
      <c r="B217" s="407">
        <f>'2C. Reusable'!B81</f>
        <v>5.0199999999999996</v>
      </c>
      <c r="C217" s="46" t="s">
        <v>37</v>
      </c>
      <c r="D217" s="400" t="s">
        <v>2</v>
      </c>
      <c r="E217" s="46" t="s">
        <v>29</v>
      </c>
      <c r="F217" s="46" t="s">
        <v>14</v>
      </c>
      <c r="G217" s="46" t="s">
        <v>33</v>
      </c>
      <c r="H217" s="46">
        <v>1</v>
      </c>
      <c r="I217" s="46">
        <f>B217</f>
        <v>5.0199999999999996</v>
      </c>
      <c r="J217" s="46" t="s">
        <v>31</v>
      </c>
      <c r="K217" s="46" t="s">
        <v>31</v>
      </c>
      <c r="L217" s="46" t="s">
        <v>31</v>
      </c>
      <c r="M217" s="46" t="s">
        <v>31</v>
      </c>
      <c r="N217" s="46"/>
      <c r="O217" s="424"/>
      <c r="P217" s="447">
        <v>0.93</v>
      </c>
      <c r="Q217" s="46" t="s">
        <v>1039</v>
      </c>
      <c r="R217" s="46"/>
      <c r="S217" s="46"/>
      <c r="T217" s="46"/>
      <c r="U217" s="46"/>
    </row>
    <row r="218" spans="1:21">
      <c r="A218" s="338" t="s">
        <v>75</v>
      </c>
      <c r="B218" s="342">
        <f>P218</f>
        <v>0.38</v>
      </c>
      <c r="C218" s="46" t="s">
        <v>39</v>
      </c>
      <c r="D218" s="46" t="s">
        <v>40</v>
      </c>
      <c r="E218" s="46" t="s">
        <v>29</v>
      </c>
      <c r="F218" s="32" t="s">
        <v>35</v>
      </c>
      <c r="G218" s="46" t="s">
        <v>33</v>
      </c>
      <c r="H218" s="46">
        <v>2</v>
      </c>
      <c r="I218" s="46">
        <f t="shared" ref="I218:I219" si="16">LN(B218)</f>
        <v>-0.96758402626170559</v>
      </c>
      <c r="J218" s="46">
        <v>7.2284161474004766E-2</v>
      </c>
      <c r="K218" s="46" t="s">
        <v>31</v>
      </c>
      <c r="L218" s="46" t="s">
        <v>31</v>
      </c>
      <c r="M218" s="46" t="s">
        <v>31</v>
      </c>
      <c r="N218" s="46"/>
      <c r="O218" s="393" t="s">
        <v>216</v>
      </c>
      <c r="P218" s="120">
        <v>0.38</v>
      </c>
      <c r="Q218" s="46"/>
      <c r="R218" s="46"/>
      <c r="S218" s="46"/>
      <c r="T218" s="46"/>
      <c r="U218" s="46"/>
    </row>
    <row r="219" spans="1:21">
      <c r="A219" s="47" t="s">
        <v>547</v>
      </c>
      <c r="B219" s="46">
        <f>R219</f>
        <v>9.0000000000000011E-3</v>
      </c>
      <c r="C219" s="407" t="s">
        <v>37</v>
      </c>
      <c r="D219" s="46" t="s">
        <v>40</v>
      </c>
      <c r="E219" s="46" t="s">
        <v>29</v>
      </c>
      <c r="F219" s="46" t="s">
        <v>58</v>
      </c>
      <c r="G219" s="46" t="s">
        <v>33</v>
      </c>
      <c r="H219" s="46">
        <v>2</v>
      </c>
      <c r="I219" s="46">
        <f t="shared" si="16"/>
        <v>-4.7105307016459177</v>
      </c>
      <c r="J219" s="46">
        <v>7.2284161474004766E-2</v>
      </c>
      <c r="K219" s="46" t="s">
        <v>31</v>
      </c>
      <c r="L219" s="46" t="s">
        <v>31</v>
      </c>
      <c r="M219" s="46" t="s">
        <v>31</v>
      </c>
      <c r="N219" s="46"/>
      <c r="O219" s="393" t="s">
        <v>575</v>
      </c>
      <c r="P219" s="120">
        <v>9</v>
      </c>
      <c r="Q219" s="46" t="s">
        <v>221</v>
      </c>
      <c r="R219" s="46">
        <f>P219*0.001</f>
        <v>9.0000000000000011E-3</v>
      </c>
      <c r="S219" s="46"/>
      <c r="T219" s="46"/>
      <c r="U219" s="46"/>
    </row>
    <row r="220" spans="1:21">
      <c r="A220" s="61" t="s">
        <v>866</v>
      </c>
      <c r="B220" s="46">
        <f t="shared" ref="B220:B221" si="17">R220</f>
        <v>1.6E-2</v>
      </c>
      <c r="C220" s="46" t="s">
        <v>37</v>
      </c>
      <c r="D220" s="46" t="s">
        <v>40</v>
      </c>
      <c r="E220" s="46" t="s">
        <v>29</v>
      </c>
      <c r="F220" s="32" t="s">
        <v>35</v>
      </c>
      <c r="G220" s="46" t="s">
        <v>33</v>
      </c>
      <c r="H220" s="46">
        <v>2</v>
      </c>
      <c r="I220" s="46">
        <f>LN(B220)</f>
        <v>-4.1351665567423561</v>
      </c>
      <c r="J220" s="46">
        <v>7.2284161474004766E-2</v>
      </c>
      <c r="K220" s="46" t="s">
        <v>31</v>
      </c>
      <c r="L220" s="46" t="s">
        <v>31</v>
      </c>
      <c r="M220" s="46" t="s">
        <v>31</v>
      </c>
      <c r="N220" s="46"/>
      <c r="O220" s="393" t="s">
        <v>575</v>
      </c>
      <c r="P220" s="120">
        <v>16</v>
      </c>
      <c r="Q220" s="46" t="s">
        <v>221</v>
      </c>
      <c r="R220" s="46">
        <f>P220*0.001</f>
        <v>1.6E-2</v>
      </c>
      <c r="S220" s="46"/>
      <c r="T220" s="46"/>
      <c r="U220" s="46"/>
    </row>
    <row r="221" spans="1:21">
      <c r="A221" s="338" t="s">
        <v>792</v>
      </c>
      <c r="B221" s="46">
        <f t="shared" si="17"/>
        <v>14.5</v>
      </c>
      <c r="C221" s="46" t="s">
        <v>37</v>
      </c>
      <c r="D221" s="46" t="s">
        <v>40</v>
      </c>
      <c r="E221" s="46" t="s">
        <v>29</v>
      </c>
      <c r="F221" s="32" t="s">
        <v>741</v>
      </c>
      <c r="G221" s="46" t="s">
        <v>33</v>
      </c>
      <c r="H221" s="46">
        <v>2</v>
      </c>
      <c r="I221" s="46">
        <f t="shared" ref="I221:I222" si="18">LN(B221)</f>
        <v>2.6741486494265287</v>
      </c>
      <c r="J221" s="46">
        <v>7.2284161474004766E-2</v>
      </c>
      <c r="K221" s="46" t="s">
        <v>31</v>
      </c>
      <c r="L221" s="46" t="s">
        <v>31</v>
      </c>
      <c r="M221" s="46" t="s">
        <v>31</v>
      </c>
      <c r="N221" s="46"/>
      <c r="O221" s="393" t="s">
        <v>221</v>
      </c>
      <c r="P221" s="120">
        <v>14.5</v>
      </c>
      <c r="Q221" s="46" t="s">
        <v>221</v>
      </c>
      <c r="R221" s="46">
        <f>P221</f>
        <v>14.5</v>
      </c>
      <c r="S221" s="46"/>
      <c r="T221" s="46"/>
      <c r="U221" s="46"/>
    </row>
    <row r="222" spans="1:21">
      <c r="A222" s="47" t="s">
        <v>226</v>
      </c>
      <c r="B222" s="46">
        <f>R222</f>
        <v>1.4500000000000001E-2</v>
      </c>
      <c r="C222" s="46" t="s">
        <v>42</v>
      </c>
      <c r="D222" s="46" t="s">
        <v>40</v>
      </c>
      <c r="E222" s="46" t="s">
        <v>29</v>
      </c>
      <c r="F222" s="32" t="s">
        <v>741</v>
      </c>
      <c r="G222" s="46" t="s">
        <v>33</v>
      </c>
      <c r="H222" s="46">
        <v>2</v>
      </c>
      <c r="I222" s="46">
        <f t="shared" si="18"/>
        <v>-4.2336066295556085</v>
      </c>
      <c r="J222" s="46">
        <v>7.2284161474004766E-2</v>
      </c>
      <c r="K222" s="46" t="s">
        <v>31</v>
      </c>
      <c r="L222" s="46" t="s">
        <v>31</v>
      </c>
      <c r="M222" s="46" t="s">
        <v>31</v>
      </c>
      <c r="N222" s="46"/>
      <c r="O222" s="410" t="s">
        <v>858</v>
      </c>
      <c r="P222" s="155">
        <v>14.5</v>
      </c>
      <c r="Q222" s="46" t="s">
        <v>219</v>
      </c>
      <c r="R222" s="46">
        <f>0.001*P222</f>
        <v>1.4500000000000001E-2</v>
      </c>
      <c r="S222" s="46"/>
      <c r="T222" s="46"/>
      <c r="U222" s="46"/>
    </row>
    <row r="223" spans="1:21" s="41" customFormat="1">
      <c r="A223" s="362" t="s">
        <v>5</v>
      </c>
      <c r="B223" s="438" t="s">
        <v>1107</v>
      </c>
      <c r="C223" s="364"/>
      <c r="D223" s="345"/>
      <c r="E223" s="345"/>
      <c r="F223" s="345"/>
      <c r="G223" s="345"/>
      <c r="H223" s="345"/>
      <c r="I223" s="345"/>
      <c r="J223" s="345"/>
      <c r="K223" s="345"/>
      <c r="L223" s="345"/>
      <c r="M223" s="345"/>
      <c r="N223" s="345"/>
      <c r="O223" s="345"/>
      <c r="P223" s="46"/>
      <c r="Q223" s="345"/>
      <c r="R223" s="345"/>
      <c r="S223" s="345"/>
      <c r="T223" s="345"/>
      <c r="U223" s="345"/>
    </row>
    <row r="224" spans="1:21">
      <c r="A224" s="338" t="s">
        <v>7</v>
      </c>
      <c r="B224" s="46" t="s">
        <v>779</v>
      </c>
      <c r="C224" s="337"/>
      <c r="D224" s="46"/>
      <c r="E224" s="46"/>
      <c r="F224" s="46"/>
      <c r="G224" s="46"/>
      <c r="H224" s="46"/>
      <c r="I224" s="46"/>
      <c r="J224" s="46"/>
      <c r="K224" s="46"/>
      <c r="L224" s="46"/>
      <c r="M224" s="46"/>
      <c r="N224" s="46"/>
      <c r="O224" s="46"/>
      <c r="P224" s="46"/>
      <c r="Q224" s="46"/>
      <c r="R224" s="46"/>
      <c r="S224" s="46"/>
      <c r="T224" s="46"/>
      <c r="U224" s="46"/>
    </row>
    <row r="225" spans="1:21">
      <c r="A225" s="416" t="s">
        <v>9</v>
      </c>
      <c r="B225" s="46" t="s">
        <v>1116</v>
      </c>
      <c r="C225" s="337"/>
      <c r="D225" s="46"/>
      <c r="E225" s="46"/>
      <c r="F225" s="46"/>
      <c r="G225" s="46"/>
      <c r="H225" s="46"/>
      <c r="I225" s="46"/>
      <c r="J225" s="46"/>
      <c r="K225" s="46"/>
      <c r="L225" s="46"/>
      <c r="M225" s="46"/>
      <c r="N225" s="46"/>
      <c r="O225" s="46"/>
      <c r="P225" s="46"/>
      <c r="Q225" s="46"/>
      <c r="R225" s="46"/>
      <c r="S225" s="46"/>
      <c r="T225" s="46"/>
      <c r="U225" s="46"/>
    </row>
    <row r="226" spans="1:21" ht="15.75" customHeight="1">
      <c r="A226" s="338" t="s">
        <v>11</v>
      </c>
      <c r="B226" s="339" t="s">
        <v>789</v>
      </c>
      <c r="C226" s="46"/>
      <c r="D226" s="46"/>
      <c r="E226" s="46"/>
      <c r="F226" s="46"/>
      <c r="G226" s="46"/>
      <c r="H226" s="46"/>
      <c r="I226" s="46"/>
      <c r="J226" s="46"/>
      <c r="K226" s="46"/>
      <c r="L226" s="46"/>
      <c r="M226" s="46"/>
      <c r="N226" s="46"/>
      <c r="O226" s="46"/>
      <c r="P226" s="46"/>
      <c r="Q226" s="46"/>
      <c r="R226" s="46"/>
      <c r="S226" s="46"/>
      <c r="T226" s="46"/>
      <c r="U226" s="46"/>
    </row>
    <row r="227" spans="1:21">
      <c r="A227" s="338" t="s">
        <v>13</v>
      </c>
      <c r="B227" s="46" t="s">
        <v>14</v>
      </c>
      <c r="C227" s="46"/>
      <c r="D227" s="46"/>
      <c r="E227" s="46"/>
      <c r="F227" s="46"/>
      <c r="G227" s="46"/>
      <c r="H227" s="46"/>
      <c r="I227" s="46"/>
      <c r="J227" s="46"/>
      <c r="K227" s="46"/>
      <c r="L227" s="46"/>
      <c r="M227" s="46"/>
      <c r="N227" s="46"/>
      <c r="O227" s="46"/>
      <c r="P227" s="46"/>
      <c r="Q227" s="46"/>
      <c r="R227" s="46"/>
      <c r="S227" s="46"/>
      <c r="T227" s="46"/>
      <c r="U227" s="46"/>
    </row>
    <row r="228" spans="1:21">
      <c r="A228" s="338" t="s">
        <v>15</v>
      </c>
      <c r="B228" s="417">
        <f>B233</f>
        <v>1.7000000000000001E-2</v>
      </c>
      <c r="C228" s="46"/>
      <c r="D228" s="46"/>
      <c r="E228" s="46"/>
      <c r="F228" s="46"/>
      <c r="G228" s="46"/>
      <c r="H228" s="46"/>
      <c r="I228" s="46"/>
      <c r="J228" s="46"/>
      <c r="K228" s="46"/>
      <c r="L228" s="46"/>
      <c r="M228" s="46"/>
      <c r="N228" s="46"/>
      <c r="O228" s="46"/>
      <c r="P228" s="46"/>
      <c r="Q228" s="46"/>
      <c r="R228" s="46"/>
      <c r="S228" s="46"/>
      <c r="T228" s="46"/>
      <c r="U228" s="46"/>
    </row>
    <row r="229" spans="1:21">
      <c r="A229" s="338" t="s">
        <v>16</v>
      </c>
      <c r="B229" s="46" t="s">
        <v>17</v>
      </c>
      <c r="C229" s="46"/>
      <c r="D229" s="46"/>
      <c r="E229" s="46"/>
      <c r="F229" s="46"/>
      <c r="G229" s="46"/>
      <c r="H229" s="46"/>
      <c r="I229" s="46"/>
      <c r="J229" s="46"/>
      <c r="K229" s="46"/>
      <c r="L229" s="46"/>
      <c r="M229" s="46"/>
      <c r="N229" s="46"/>
      <c r="O229" s="46"/>
      <c r="P229" s="46"/>
      <c r="Q229" s="46"/>
      <c r="R229" s="46"/>
      <c r="S229" s="46"/>
      <c r="T229" s="46"/>
      <c r="U229" s="46"/>
    </row>
    <row r="230" spans="1:21">
      <c r="A230" s="338" t="s">
        <v>18</v>
      </c>
      <c r="B230" s="46" t="s">
        <v>113</v>
      </c>
      <c r="C230" s="46"/>
      <c r="D230" s="46"/>
      <c r="E230" s="46"/>
      <c r="F230" s="46"/>
      <c r="G230" s="46"/>
      <c r="H230" s="46"/>
      <c r="I230" s="46"/>
      <c r="J230" s="46"/>
      <c r="K230" s="46"/>
      <c r="L230" s="46"/>
      <c r="M230" s="46"/>
      <c r="N230" s="46"/>
      <c r="O230" s="46"/>
      <c r="P230" s="46"/>
      <c r="Q230" s="46"/>
      <c r="R230" s="46"/>
      <c r="S230" s="46"/>
      <c r="T230" s="46"/>
      <c r="U230" s="46"/>
    </row>
    <row r="231" spans="1:21">
      <c r="A231" s="335" t="s">
        <v>19</v>
      </c>
      <c r="B231" s="46"/>
      <c r="C231" s="46"/>
      <c r="D231" s="46"/>
      <c r="E231" s="46"/>
      <c r="F231" s="46"/>
      <c r="G231" s="46"/>
      <c r="H231" s="46"/>
      <c r="I231" s="46"/>
      <c r="J231" s="46"/>
      <c r="K231" s="46"/>
      <c r="L231" s="46"/>
      <c r="M231" s="46"/>
      <c r="N231" s="46"/>
      <c r="O231" s="46"/>
      <c r="P231" s="46"/>
      <c r="Q231" s="46"/>
      <c r="R231" s="46"/>
      <c r="S231" s="46"/>
      <c r="T231" s="46"/>
      <c r="U231" s="46"/>
    </row>
    <row r="232" spans="1:21">
      <c r="A232" s="336" t="s">
        <v>20</v>
      </c>
      <c r="B232" s="336" t="s">
        <v>21</v>
      </c>
      <c r="C232" s="336" t="s">
        <v>18</v>
      </c>
      <c r="D232" s="336" t="s">
        <v>22</v>
      </c>
      <c r="E232" s="336" t="s">
        <v>7</v>
      </c>
      <c r="F232" s="336" t="s">
        <v>13</v>
      </c>
      <c r="G232" s="336" t="s">
        <v>16</v>
      </c>
      <c r="H232" s="336" t="s">
        <v>23</v>
      </c>
      <c r="I232" s="336" t="s">
        <v>24</v>
      </c>
      <c r="J232" s="336" t="s">
        <v>25</v>
      </c>
      <c r="K232" s="336" t="s">
        <v>26</v>
      </c>
      <c r="L232" s="336" t="s">
        <v>27</v>
      </c>
      <c r="M232" s="336" t="s">
        <v>28</v>
      </c>
      <c r="N232" s="336" t="s">
        <v>11</v>
      </c>
      <c r="O232" s="46"/>
      <c r="P232" s="46"/>
      <c r="Q232" s="46"/>
      <c r="R232" s="46"/>
      <c r="S232" s="46"/>
      <c r="T232" s="46"/>
      <c r="U232" s="46"/>
    </row>
    <row r="233" spans="1:21">
      <c r="A233" s="46" t="s">
        <v>1107</v>
      </c>
      <c r="B233" s="407">
        <f>P233</f>
        <v>1.7000000000000001E-2</v>
      </c>
      <c r="C233" s="46" t="s">
        <v>113</v>
      </c>
      <c r="D233" s="400" t="s">
        <v>2</v>
      </c>
      <c r="E233" s="46" t="s">
        <v>29</v>
      </c>
      <c r="F233" s="32" t="s">
        <v>14</v>
      </c>
      <c r="G233" s="46" t="s">
        <v>30</v>
      </c>
      <c r="H233" s="46">
        <v>1</v>
      </c>
      <c r="I233" s="46">
        <f>B233</f>
        <v>1.7000000000000001E-2</v>
      </c>
      <c r="J233" s="46" t="s">
        <v>31</v>
      </c>
      <c r="K233" s="46" t="s">
        <v>31</v>
      </c>
      <c r="L233" s="46" t="s">
        <v>31</v>
      </c>
      <c r="M233" s="46" t="s">
        <v>31</v>
      </c>
      <c r="N233" s="46"/>
      <c r="O233" s="463" t="s">
        <v>817</v>
      </c>
      <c r="P233" s="464">
        <v>1.7000000000000001E-2</v>
      </c>
      <c r="Q233" s="46"/>
      <c r="R233" s="46"/>
      <c r="S233" s="46"/>
      <c r="T233" s="46"/>
      <c r="U233" s="46"/>
    </row>
    <row r="234" spans="1:21">
      <c r="A234" s="46" t="s">
        <v>1117</v>
      </c>
      <c r="B234" s="407">
        <f>B254</f>
        <v>1.7000000000000001E-2</v>
      </c>
      <c r="C234" s="46" t="s">
        <v>113</v>
      </c>
      <c r="D234" s="400" t="s">
        <v>2</v>
      </c>
      <c r="E234" s="46" t="s">
        <v>29</v>
      </c>
      <c r="F234" s="32" t="s">
        <v>14</v>
      </c>
      <c r="G234" s="46" t="s">
        <v>33</v>
      </c>
      <c r="H234" s="46">
        <v>1</v>
      </c>
      <c r="I234" s="46">
        <f>B234</f>
        <v>1.7000000000000001E-2</v>
      </c>
      <c r="J234" s="46" t="s">
        <v>31</v>
      </c>
      <c r="K234" s="46" t="s">
        <v>31</v>
      </c>
      <c r="L234" s="46" t="s">
        <v>31</v>
      </c>
      <c r="M234" s="46" t="s">
        <v>31</v>
      </c>
      <c r="N234" s="46"/>
      <c r="O234" s="463" t="s">
        <v>817</v>
      </c>
      <c r="P234" s="464">
        <v>1.7000000000000001E-2</v>
      </c>
      <c r="Q234" s="46"/>
      <c r="R234" s="46"/>
      <c r="S234" s="46"/>
      <c r="T234" s="46"/>
      <c r="U234" s="46"/>
    </row>
    <row r="235" spans="1:21">
      <c r="A235" s="46" t="s">
        <v>1118</v>
      </c>
      <c r="B235" s="407">
        <f>B242</f>
        <v>28.7</v>
      </c>
      <c r="C235" s="46" t="s">
        <v>113</v>
      </c>
      <c r="D235" s="400" t="s">
        <v>2</v>
      </c>
      <c r="E235" s="46" t="s">
        <v>29</v>
      </c>
      <c r="F235" s="32" t="s">
        <v>14</v>
      </c>
      <c r="G235" s="46" t="s">
        <v>33</v>
      </c>
      <c r="H235" s="46">
        <v>1</v>
      </c>
      <c r="I235" s="46">
        <f>B235</f>
        <v>28.7</v>
      </c>
      <c r="J235" s="46" t="s">
        <v>31</v>
      </c>
      <c r="K235" s="46" t="s">
        <v>31</v>
      </c>
      <c r="L235" s="46" t="s">
        <v>31</v>
      </c>
      <c r="M235" s="46" t="s">
        <v>31</v>
      </c>
      <c r="N235" s="46"/>
      <c r="O235" s="392" t="s">
        <v>817</v>
      </c>
      <c r="P235" s="461">
        <v>2.8999999999999998E-3</v>
      </c>
      <c r="Q235" s="46"/>
      <c r="R235" s="46"/>
      <c r="S235" s="46"/>
      <c r="T235" s="46"/>
      <c r="U235" s="46"/>
    </row>
    <row r="236" spans="1:21">
      <c r="A236" s="338" t="s">
        <v>75</v>
      </c>
      <c r="B236" s="407">
        <f>P236</f>
        <v>0.4</v>
      </c>
      <c r="C236" s="46" t="s">
        <v>39</v>
      </c>
      <c r="D236" s="46" t="s">
        <v>40</v>
      </c>
      <c r="E236" s="46" t="s">
        <v>29</v>
      </c>
      <c r="F236" s="32" t="s">
        <v>35</v>
      </c>
      <c r="G236" s="46" t="s">
        <v>33</v>
      </c>
      <c r="H236" s="46">
        <v>2</v>
      </c>
      <c r="I236" s="46">
        <f t="shared" ref="I236" si="19">LN(B236)</f>
        <v>-0.916290731874155</v>
      </c>
      <c r="J236" s="46">
        <v>0.20928449536456342</v>
      </c>
      <c r="K236" s="46" t="s">
        <v>31</v>
      </c>
      <c r="L236" s="46" t="s">
        <v>31</v>
      </c>
      <c r="M236" s="46" t="s">
        <v>31</v>
      </c>
      <c r="N236" s="46"/>
      <c r="O236" s="393" t="s">
        <v>216</v>
      </c>
      <c r="P236" s="406">
        <v>0.4</v>
      </c>
      <c r="Q236" s="46"/>
      <c r="R236" s="46"/>
      <c r="S236" s="46"/>
      <c r="T236" s="46"/>
      <c r="U236" s="46"/>
    </row>
    <row r="237" spans="1:21" s="41" customFormat="1">
      <c r="A237" s="362" t="s">
        <v>5</v>
      </c>
      <c r="B237" s="438" t="s">
        <v>1118</v>
      </c>
      <c r="C237" s="364"/>
      <c r="D237" s="345"/>
      <c r="E237" s="345"/>
      <c r="F237" s="345"/>
      <c r="G237" s="345"/>
      <c r="H237" s="345"/>
      <c r="I237" s="345"/>
      <c r="J237" s="345"/>
      <c r="K237" s="345"/>
      <c r="L237" s="345"/>
      <c r="M237" s="345"/>
      <c r="N237" s="345"/>
      <c r="O237" s="345"/>
      <c r="P237" s="345"/>
      <c r="Q237" s="345"/>
      <c r="R237" s="345"/>
      <c r="S237" s="345"/>
      <c r="T237" s="345"/>
      <c r="U237" s="345"/>
    </row>
    <row r="238" spans="1:21">
      <c r="A238" s="338" t="s">
        <v>7</v>
      </c>
      <c r="B238" s="46" t="s">
        <v>779</v>
      </c>
      <c r="C238" s="337"/>
      <c r="D238" s="46"/>
      <c r="E238" s="46"/>
      <c r="F238" s="46"/>
      <c r="G238" s="46"/>
      <c r="H238" s="46"/>
      <c r="I238" s="46"/>
      <c r="J238" s="46"/>
      <c r="K238" s="46"/>
      <c r="L238" s="46"/>
      <c r="M238" s="46"/>
      <c r="N238" s="46"/>
      <c r="O238" s="46"/>
      <c r="P238" s="46"/>
      <c r="Q238" s="46"/>
      <c r="R238" s="46"/>
      <c r="S238" s="46"/>
      <c r="T238" s="46"/>
      <c r="U238" s="46"/>
    </row>
    <row r="239" spans="1:21">
      <c r="A239" s="416" t="s">
        <v>9</v>
      </c>
      <c r="B239" s="46" t="s">
        <v>1119</v>
      </c>
      <c r="C239" s="337"/>
      <c r="D239" s="46"/>
      <c r="E239" s="46"/>
      <c r="F239" s="46"/>
      <c r="G239" s="46"/>
      <c r="H239" s="46"/>
      <c r="I239" s="46"/>
      <c r="J239" s="46"/>
      <c r="K239" s="46"/>
      <c r="L239" s="46"/>
      <c r="M239" s="46"/>
      <c r="N239" s="46"/>
      <c r="O239" s="46"/>
      <c r="P239" s="46"/>
      <c r="Q239" s="46"/>
      <c r="R239" s="46"/>
      <c r="S239" s="46"/>
      <c r="T239" s="46"/>
      <c r="U239" s="46"/>
    </row>
    <row r="240" spans="1:21" ht="15.75" customHeight="1">
      <c r="A240" s="338" t="s">
        <v>11</v>
      </c>
      <c r="B240" s="339" t="s">
        <v>789</v>
      </c>
      <c r="C240" s="46"/>
      <c r="D240" s="46"/>
      <c r="E240" s="46"/>
      <c r="F240" s="46"/>
      <c r="G240" s="46"/>
      <c r="H240" s="46"/>
      <c r="I240" s="46"/>
      <c r="J240" s="46"/>
      <c r="K240" s="46"/>
      <c r="L240" s="46"/>
      <c r="M240" s="46"/>
      <c r="N240" s="46"/>
      <c r="O240" s="46"/>
      <c r="P240" s="46"/>
      <c r="Q240" s="46"/>
      <c r="R240" s="46"/>
      <c r="S240" s="46"/>
      <c r="T240" s="46"/>
      <c r="U240" s="46"/>
    </row>
    <row r="241" spans="1:21">
      <c r="A241" s="338" t="s">
        <v>13</v>
      </c>
      <c r="B241" s="46" t="s">
        <v>14</v>
      </c>
      <c r="C241" s="46"/>
      <c r="D241" s="46"/>
      <c r="E241" s="46"/>
      <c r="F241" s="46"/>
      <c r="G241" s="46"/>
      <c r="H241" s="46"/>
      <c r="I241" s="46"/>
      <c r="J241" s="46"/>
      <c r="K241" s="46"/>
      <c r="L241" s="46"/>
      <c r="M241" s="46"/>
      <c r="N241" s="46"/>
      <c r="O241" s="46"/>
      <c r="P241" s="46"/>
      <c r="Q241" s="46"/>
      <c r="R241" s="46"/>
      <c r="S241" s="46"/>
      <c r="T241" s="46"/>
      <c r="U241" s="46"/>
    </row>
    <row r="242" spans="1:21">
      <c r="A242" s="338" t="s">
        <v>15</v>
      </c>
      <c r="B242" s="407">
        <f>B247</f>
        <v>28.7</v>
      </c>
      <c r="C242" s="46"/>
      <c r="D242" s="46"/>
      <c r="E242" s="46"/>
      <c r="F242" s="46"/>
      <c r="G242" s="46"/>
      <c r="H242" s="46"/>
      <c r="I242" s="46"/>
      <c r="J242" s="46"/>
      <c r="K242" s="46"/>
      <c r="L242" s="46"/>
      <c r="M242" s="46"/>
      <c r="N242" s="46"/>
      <c r="O242" s="46"/>
      <c r="P242" s="46"/>
      <c r="Q242" s="46"/>
      <c r="R242" s="46"/>
      <c r="S242" s="46"/>
      <c r="T242" s="46"/>
      <c r="U242" s="46"/>
    </row>
    <row r="243" spans="1:21">
      <c r="A243" s="338" t="s">
        <v>16</v>
      </c>
      <c r="B243" s="46" t="s">
        <v>17</v>
      </c>
      <c r="C243" s="46"/>
      <c r="D243" s="46"/>
      <c r="E243" s="46"/>
      <c r="F243" s="46"/>
      <c r="G243" s="46"/>
      <c r="H243" s="46"/>
      <c r="I243" s="46"/>
      <c r="J243" s="46"/>
      <c r="K243" s="46"/>
      <c r="L243" s="46"/>
      <c r="M243" s="46"/>
      <c r="N243" s="46"/>
      <c r="O243" s="46"/>
      <c r="P243" s="46"/>
      <c r="Q243" s="46"/>
      <c r="R243" s="46"/>
      <c r="S243" s="46"/>
      <c r="T243" s="46"/>
      <c r="U243" s="46"/>
    </row>
    <row r="244" spans="1:21">
      <c r="A244" s="338" t="s">
        <v>18</v>
      </c>
      <c r="B244" s="46" t="s">
        <v>113</v>
      </c>
      <c r="C244" s="46"/>
      <c r="D244" s="46"/>
      <c r="E244" s="46"/>
      <c r="F244" s="46"/>
      <c r="G244" s="46"/>
      <c r="H244" s="46"/>
      <c r="I244" s="46"/>
      <c r="J244" s="46"/>
      <c r="K244" s="46"/>
      <c r="L244" s="46"/>
      <c r="M244" s="46"/>
      <c r="N244" s="46"/>
      <c r="O244" s="46"/>
      <c r="P244" s="46"/>
      <c r="Q244" s="46"/>
      <c r="R244" s="46"/>
      <c r="S244" s="46"/>
      <c r="T244" s="46"/>
      <c r="U244" s="46"/>
    </row>
    <row r="245" spans="1:21">
      <c r="A245" s="335" t="s">
        <v>19</v>
      </c>
      <c r="B245" s="46"/>
      <c r="C245" s="46"/>
      <c r="D245" s="46"/>
      <c r="E245" s="46"/>
      <c r="F245" s="46"/>
      <c r="G245" s="46"/>
      <c r="H245" s="46"/>
      <c r="I245" s="46"/>
      <c r="J245" s="46"/>
      <c r="K245" s="46"/>
      <c r="L245" s="46"/>
      <c r="M245" s="46"/>
      <c r="N245" s="46"/>
      <c r="O245" s="46"/>
      <c r="P245" s="46"/>
      <c r="Q245" s="46"/>
      <c r="R245" s="46"/>
      <c r="S245" s="46"/>
      <c r="T245" s="46"/>
      <c r="U245" s="46"/>
    </row>
    <row r="246" spans="1:21">
      <c r="A246" s="336" t="s">
        <v>20</v>
      </c>
      <c r="B246" s="336" t="s">
        <v>21</v>
      </c>
      <c r="C246" s="336" t="s">
        <v>18</v>
      </c>
      <c r="D246" s="336" t="s">
        <v>22</v>
      </c>
      <c r="E246" s="336" t="s">
        <v>7</v>
      </c>
      <c r="F246" s="336" t="s">
        <v>13</v>
      </c>
      <c r="G246" s="336" t="s">
        <v>16</v>
      </c>
      <c r="H246" s="336" t="s">
        <v>23</v>
      </c>
      <c r="I246" s="336" t="s">
        <v>24</v>
      </c>
      <c r="J246" s="336" t="s">
        <v>25</v>
      </c>
      <c r="K246" s="336" t="s">
        <v>26</v>
      </c>
      <c r="L246" s="336" t="s">
        <v>27</v>
      </c>
      <c r="M246" s="336" t="s">
        <v>28</v>
      </c>
      <c r="N246" s="336" t="s">
        <v>11</v>
      </c>
      <c r="O246" s="46"/>
      <c r="P246" s="46"/>
      <c r="Q246" s="46"/>
      <c r="R246" s="46"/>
      <c r="S246" s="46"/>
      <c r="T246" s="46"/>
      <c r="U246" s="46"/>
    </row>
    <row r="247" spans="1:21">
      <c r="A247" s="46" t="s">
        <v>1118</v>
      </c>
      <c r="B247" s="407">
        <f>Q247</f>
        <v>28.7</v>
      </c>
      <c r="C247" s="46" t="s">
        <v>113</v>
      </c>
      <c r="D247" s="400" t="s">
        <v>2</v>
      </c>
      <c r="E247" s="46" t="s">
        <v>29</v>
      </c>
      <c r="F247" s="32" t="s">
        <v>14</v>
      </c>
      <c r="G247" s="46" t="s">
        <v>30</v>
      </c>
      <c r="H247" s="46">
        <v>1</v>
      </c>
      <c r="I247" s="46">
        <f>B247</f>
        <v>28.7</v>
      </c>
      <c r="J247" s="46" t="s">
        <v>31</v>
      </c>
      <c r="K247" s="46" t="s">
        <v>31</v>
      </c>
      <c r="L247" s="46" t="s">
        <v>31</v>
      </c>
      <c r="M247" s="46" t="s">
        <v>31</v>
      </c>
      <c r="N247" s="46"/>
      <c r="O247" s="46"/>
      <c r="P247" s="393" t="s">
        <v>1120</v>
      </c>
      <c r="Q247" s="406">
        <v>28.7</v>
      </c>
      <c r="R247" s="46" t="s">
        <v>605</v>
      </c>
      <c r="S247" s="46">
        <f>Q247*0.0001</f>
        <v>2.8700000000000002E-3</v>
      </c>
      <c r="T247" s="46"/>
      <c r="U247" s="46"/>
    </row>
    <row r="248" spans="1:21">
      <c r="A248" s="47" t="s">
        <v>942</v>
      </c>
      <c r="B248" s="407">
        <f>S248</f>
        <v>2.8700000000000002E-3</v>
      </c>
      <c r="C248" s="46" t="s">
        <v>113</v>
      </c>
      <c r="D248" s="46" t="s">
        <v>40</v>
      </c>
      <c r="E248" s="46" t="s">
        <v>29</v>
      </c>
      <c r="F248" s="46" t="s">
        <v>58</v>
      </c>
      <c r="G248" s="46" t="s">
        <v>33</v>
      </c>
      <c r="H248" s="46">
        <v>2</v>
      </c>
      <c r="I248" s="46">
        <f>LN(B248)</f>
        <v>-5.8534432492106072</v>
      </c>
      <c r="J248" s="46">
        <v>3.7749172176353707E-2</v>
      </c>
      <c r="K248" s="46" t="s">
        <v>31</v>
      </c>
      <c r="L248" s="46" t="s">
        <v>31</v>
      </c>
      <c r="M248" s="46" t="s">
        <v>31</v>
      </c>
      <c r="N248" s="46"/>
      <c r="O248" s="46"/>
      <c r="P248" s="392" t="s">
        <v>1120</v>
      </c>
      <c r="Q248" s="447">
        <v>28.7</v>
      </c>
      <c r="R248" s="46" t="s">
        <v>605</v>
      </c>
      <c r="S248" s="46">
        <f>Q248*0.0001</f>
        <v>2.8700000000000002E-3</v>
      </c>
      <c r="T248" s="46"/>
      <c r="U248" s="46"/>
    </row>
    <row r="249" spans="1:21" s="41" customFormat="1">
      <c r="A249" s="362" t="s">
        <v>5</v>
      </c>
      <c r="B249" s="363" t="s">
        <v>1117</v>
      </c>
      <c r="C249" s="345"/>
      <c r="D249" s="345"/>
      <c r="E249" s="345"/>
      <c r="F249" s="345"/>
      <c r="G249" s="345"/>
      <c r="H249" s="345"/>
      <c r="I249" s="345"/>
      <c r="J249" s="345"/>
      <c r="K249" s="345"/>
      <c r="L249" s="345"/>
      <c r="M249" s="345"/>
      <c r="N249" s="345"/>
      <c r="O249" s="345"/>
      <c r="P249" s="345"/>
      <c r="Q249" s="345"/>
      <c r="R249" s="345"/>
      <c r="S249" s="345"/>
      <c r="T249" s="345"/>
      <c r="U249" s="345"/>
    </row>
    <row r="250" spans="1:21">
      <c r="A250" s="338" t="s">
        <v>7</v>
      </c>
      <c r="B250" s="46" t="s">
        <v>779</v>
      </c>
      <c r="C250" s="337"/>
      <c r="D250" s="46"/>
      <c r="E250" s="46"/>
      <c r="F250" s="46"/>
      <c r="G250" s="46"/>
      <c r="H250" s="46"/>
      <c r="I250" s="46"/>
      <c r="J250" s="46"/>
      <c r="K250" s="46"/>
      <c r="L250" s="46"/>
      <c r="M250" s="46"/>
      <c r="N250" s="46"/>
      <c r="O250" s="46"/>
      <c r="P250" s="46"/>
      <c r="Q250" s="46"/>
      <c r="R250" s="46"/>
      <c r="S250" s="46"/>
      <c r="T250" s="46"/>
      <c r="U250" s="46"/>
    </row>
    <row r="251" spans="1:21">
      <c r="A251" s="416" t="s">
        <v>9</v>
      </c>
      <c r="B251" s="46" t="s">
        <v>1121</v>
      </c>
      <c r="C251" s="337"/>
      <c r="D251" s="46"/>
      <c r="E251" s="46"/>
      <c r="F251" s="46"/>
      <c r="G251" s="46"/>
      <c r="H251" s="46"/>
      <c r="I251" s="46"/>
      <c r="J251" s="46"/>
      <c r="K251" s="46"/>
      <c r="L251" s="46"/>
      <c r="M251" s="46"/>
      <c r="N251" s="46"/>
      <c r="O251" s="46"/>
      <c r="P251" s="46"/>
      <c r="Q251" s="46"/>
      <c r="R251" s="46"/>
      <c r="S251" s="46"/>
      <c r="T251" s="46"/>
      <c r="U251" s="46"/>
    </row>
    <row r="252" spans="1:21" ht="15.75" customHeight="1">
      <c r="A252" s="338" t="s">
        <v>11</v>
      </c>
      <c r="B252" s="339" t="s">
        <v>789</v>
      </c>
      <c r="C252" s="46"/>
      <c r="D252" s="46"/>
      <c r="E252" s="46"/>
      <c r="F252" s="46"/>
      <c r="G252" s="46"/>
      <c r="H252" s="46"/>
      <c r="I252" s="46"/>
      <c r="J252" s="46"/>
      <c r="K252" s="46"/>
      <c r="L252" s="46"/>
      <c r="M252" s="46"/>
      <c r="N252" s="46"/>
      <c r="O252" s="46"/>
      <c r="P252" s="46"/>
      <c r="Q252" s="46"/>
      <c r="R252" s="46"/>
      <c r="S252" s="46"/>
      <c r="T252" s="46"/>
      <c r="U252" s="46"/>
    </row>
    <row r="253" spans="1:21">
      <c r="A253" s="338" t="s">
        <v>13</v>
      </c>
      <c r="B253" s="46" t="s">
        <v>14</v>
      </c>
      <c r="C253" s="46"/>
      <c r="D253" s="46"/>
      <c r="E253" s="46"/>
      <c r="F253" s="46"/>
      <c r="G253" s="46"/>
      <c r="H253" s="46"/>
      <c r="I253" s="46"/>
      <c r="J253" s="46"/>
      <c r="K253" s="46"/>
      <c r="L253" s="46"/>
      <c r="M253" s="46"/>
      <c r="N253" s="46"/>
      <c r="O253" s="46"/>
      <c r="P253" s="46"/>
      <c r="Q253" s="46"/>
      <c r="R253" s="46"/>
      <c r="S253" s="46"/>
      <c r="T253" s="46"/>
      <c r="U253" s="46"/>
    </row>
    <row r="254" spans="1:21">
      <c r="A254" s="338" t="s">
        <v>15</v>
      </c>
      <c r="B254" s="407">
        <f>B259</f>
        <v>1.7000000000000001E-2</v>
      </c>
      <c r="C254" s="46"/>
      <c r="D254" s="46"/>
      <c r="E254" s="46"/>
      <c r="F254" s="46"/>
      <c r="G254" s="46"/>
      <c r="H254" s="46"/>
      <c r="I254" s="46"/>
      <c r="J254" s="46"/>
      <c r="K254" s="46"/>
      <c r="L254" s="46"/>
      <c r="M254" s="46"/>
      <c r="N254" s="46"/>
      <c r="O254" s="46"/>
      <c r="P254" s="46"/>
      <c r="Q254" s="46"/>
      <c r="R254" s="46"/>
      <c r="S254" s="46"/>
      <c r="T254" s="46"/>
      <c r="U254" s="46"/>
    </row>
    <row r="255" spans="1:21">
      <c r="A255" s="338" t="s">
        <v>16</v>
      </c>
      <c r="B255" s="46" t="s">
        <v>17</v>
      </c>
      <c r="C255" s="46"/>
      <c r="D255" s="46"/>
      <c r="E255" s="46"/>
      <c r="F255" s="46"/>
      <c r="G255" s="46"/>
      <c r="H255" s="46"/>
      <c r="I255" s="46"/>
      <c r="J255" s="46"/>
      <c r="K255" s="46"/>
      <c r="L255" s="46"/>
      <c r="M255" s="46"/>
      <c r="N255" s="46"/>
      <c r="O255" s="46"/>
      <c r="P255" s="46"/>
      <c r="Q255" s="46"/>
      <c r="R255" s="46"/>
      <c r="S255" s="46"/>
      <c r="T255" s="46"/>
      <c r="U255" s="46"/>
    </row>
    <row r="256" spans="1:21">
      <c r="A256" s="338" t="s">
        <v>18</v>
      </c>
      <c r="B256" s="46" t="s">
        <v>113</v>
      </c>
      <c r="C256" s="46"/>
      <c r="D256" s="46"/>
      <c r="E256" s="46"/>
      <c r="F256" s="46"/>
      <c r="G256" s="46"/>
      <c r="H256" s="46"/>
      <c r="I256" s="46"/>
      <c r="J256" s="46"/>
      <c r="K256" s="46"/>
      <c r="L256" s="46"/>
      <c r="M256" s="46"/>
      <c r="N256" s="46"/>
      <c r="O256" s="46"/>
      <c r="P256" s="46"/>
      <c r="Q256" s="46"/>
      <c r="R256" s="46"/>
      <c r="S256" s="46"/>
      <c r="T256" s="46"/>
      <c r="U256" s="46"/>
    </row>
    <row r="257" spans="1:21">
      <c r="A257" s="335" t="s">
        <v>19</v>
      </c>
      <c r="B257" s="46"/>
      <c r="C257" s="46"/>
      <c r="D257" s="46"/>
      <c r="E257" s="46"/>
      <c r="F257" s="46"/>
      <c r="G257" s="46"/>
      <c r="H257" s="46"/>
      <c r="I257" s="46"/>
      <c r="J257" s="46"/>
      <c r="K257" s="46"/>
      <c r="L257" s="46"/>
      <c r="M257" s="46"/>
      <c r="N257" s="46"/>
      <c r="O257" s="46"/>
      <c r="P257" s="46"/>
      <c r="Q257" s="46"/>
      <c r="R257" s="46"/>
      <c r="S257" s="46"/>
      <c r="T257" s="46"/>
      <c r="U257" s="46"/>
    </row>
    <row r="258" spans="1:21">
      <c r="A258" s="336" t="s">
        <v>20</v>
      </c>
      <c r="B258" s="336" t="s">
        <v>21</v>
      </c>
      <c r="C258" s="336" t="s">
        <v>18</v>
      </c>
      <c r="D258" s="336" t="s">
        <v>22</v>
      </c>
      <c r="E258" s="336" t="s">
        <v>7</v>
      </c>
      <c r="F258" s="336" t="s">
        <v>13</v>
      </c>
      <c r="G258" s="336" t="s">
        <v>16</v>
      </c>
      <c r="H258" s="336" t="s">
        <v>23</v>
      </c>
      <c r="I258" s="336" t="s">
        <v>24</v>
      </c>
      <c r="J258" s="336" t="s">
        <v>25</v>
      </c>
      <c r="K258" s="336" t="s">
        <v>26</v>
      </c>
      <c r="L258" s="336" t="s">
        <v>27</v>
      </c>
      <c r="M258" s="336" t="s">
        <v>28</v>
      </c>
      <c r="N258" s="336" t="s">
        <v>11</v>
      </c>
      <c r="O258" s="46"/>
      <c r="P258" s="46"/>
      <c r="Q258" s="46"/>
      <c r="R258" s="46"/>
      <c r="S258" s="46"/>
      <c r="T258" s="46"/>
      <c r="U258" s="46"/>
    </row>
    <row r="259" spans="1:21">
      <c r="A259" s="46" t="s">
        <v>1117</v>
      </c>
      <c r="B259" s="407">
        <f>B260</f>
        <v>1.7000000000000001E-2</v>
      </c>
      <c r="C259" s="46" t="s">
        <v>113</v>
      </c>
      <c r="D259" s="400" t="s">
        <v>2</v>
      </c>
      <c r="E259" s="46" t="s">
        <v>29</v>
      </c>
      <c r="F259" s="32" t="s">
        <v>14</v>
      </c>
      <c r="G259" s="46" t="s">
        <v>30</v>
      </c>
      <c r="H259" s="46">
        <v>1</v>
      </c>
      <c r="I259" s="46">
        <f t="shared" ref="I259:I260" si="20">B259</f>
        <v>1.7000000000000001E-2</v>
      </c>
      <c r="J259" s="46" t="s">
        <v>31</v>
      </c>
      <c r="K259" s="46" t="s">
        <v>31</v>
      </c>
      <c r="L259" s="46" t="s">
        <v>31</v>
      </c>
      <c r="M259" s="46" t="s">
        <v>31</v>
      </c>
      <c r="N259" s="46"/>
      <c r="O259" s="46"/>
      <c r="P259" s="46"/>
      <c r="Q259" s="46"/>
      <c r="R259" s="46"/>
      <c r="S259" s="46"/>
      <c r="T259" s="46"/>
      <c r="U259" s="46"/>
    </row>
    <row r="260" spans="1:21">
      <c r="A260" s="46" t="s">
        <v>1122</v>
      </c>
      <c r="B260" s="407">
        <f>P260</f>
        <v>1.7000000000000001E-2</v>
      </c>
      <c r="C260" s="46" t="s">
        <v>113</v>
      </c>
      <c r="D260" s="400" t="s">
        <v>2</v>
      </c>
      <c r="E260" s="46" t="s">
        <v>29</v>
      </c>
      <c r="F260" s="46" t="s">
        <v>14</v>
      </c>
      <c r="G260" s="46" t="s">
        <v>33</v>
      </c>
      <c r="H260" s="46">
        <v>1</v>
      </c>
      <c r="I260" s="46">
        <f t="shared" si="20"/>
        <v>1.7000000000000001E-2</v>
      </c>
      <c r="J260" s="46" t="s">
        <v>31</v>
      </c>
      <c r="K260" s="46" t="s">
        <v>31</v>
      </c>
      <c r="L260" s="46" t="s">
        <v>31</v>
      </c>
      <c r="M260" s="46" t="s">
        <v>31</v>
      </c>
      <c r="N260" s="46"/>
      <c r="O260" s="46"/>
      <c r="P260" s="462">
        <v>1.7000000000000001E-2</v>
      </c>
      <c r="Q260" s="46"/>
      <c r="R260" s="46"/>
      <c r="S260" s="46"/>
      <c r="T260" s="46"/>
      <c r="U260" s="46"/>
    </row>
    <row r="261" spans="1:21">
      <c r="A261" s="338" t="s">
        <v>75</v>
      </c>
      <c r="B261" s="342">
        <f>R261</f>
        <v>0.15</v>
      </c>
      <c r="C261" s="46" t="s">
        <v>39</v>
      </c>
      <c r="D261" s="46" t="s">
        <v>40</v>
      </c>
      <c r="E261" s="46" t="s">
        <v>29</v>
      </c>
      <c r="F261" s="32" t="s">
        <v>35</v>
      </c>
      <c r="G261" s="46" t="s">
        <v>33</v>
      </c>
      <c r="H261" s="46">
        <v>2</v>
      </c>
      <c r="I261" s="46">
        <f t="shared" ref="I261:I265" si="21">LN(B261)</f>
        <v>-1.8971199848858813</v>
      </c>
      <c r="J261" s="46">
        <v>0.20928449536456342</v>
      </c>
      <c r="K261" s="46" t="s">
        <v>31</v>
      </c>
      <c r="L261" s="46" t="s">
        <v>31</v>
      </c>
      <c r="M261" s="46" t="s">
        <v>31</v>
      </c>
      <c r="N261" s="46"/>
      <c r="O261" s="375" t="s">
        <v>216</v>
      </c>
      <c r="P261" s="120">
        <v>0.15</v>
      </c>
      <c r="Q261" s="46" t="s">
        <v>216</v>
      </c>
      <c r="R261" s="342">
        <f>P261</f>
        <v>0.15</v>
      </c>
      <c r="S261" s="46"/>
      <c r="T261" s="46"/>
      <c r="U261" s="46"/>
    </row>
    <row r="262" spans="1:21">
      <c r="A262" s="47" t="s">
        <v>791</v>
      </c>
      <c r="B262" s="46">
        <f>R262</f>
        <v>4.5999999999999999E-3</v>
      </c>
      <c r="C262" s="46" t="s">
        <v>37</v>
      </c>
      <c r="D262" s="46" t="s">
        <v>40</v>
      </c>
      <c r="E262" s="46" t="s">
        <v>29</v>
      </c>
      <c r="F262" s="32" t="s">
        <v>35</v>
      </c>
      <c r="G262" s="46" t="s">
        <v>33</v>
      </c>
      <c r="H262" s="46">
        <v>2</v>
      </c>
      <c r="I262" s="46">
        <f t="shared" si="21"/>
        <v>-5.3816989754870876</v>
      </c>
      <c r="J262" s="46">
        <v>0.20928449536456342</v>
      </c>
      <c r="K262" s="46" t="s">
        <v>31</v>
      </c>
      <c r="L262" s="46" t="s">
        <v>31</v>
      </c>
      <c r="M262" s="46" t="s">
        <v>31</v>
      </c>
      <c r="N262" s="46"/>
      <c r="O262" s="393" t="s">
        <v>575</v>
      </c>
      <c r="P262" s="120">
        <v>4.5999999999999996</v>
      </c>
      <c r="Q262" s="46" t="s">
        <v>221</v>
      </c>
      <c r="R262" s="46">
        <f>0.001*P262</f>
        <v>4.5999999999999999E-3</v>
      </c>
      <c r="S262" s="46"/>
      <c r="T262" s="46"/>
      <c r="U262" s="46"/>
    </row>
    <row r="263" spans="1:21">
      <c r="A263" s="47" t="s">
        <v>546</v>
      </c>
      <c r="B263" s="46">
        <f>R263</f>
        <v>6.9999999999999999E-4</v>
      </c>
      <c r="C263" s="46" t="s">
        <v>37</v>
      </c>
      <c r="D263" s="46" t="s">
        <v>40</v>
      </c>
      <c r="E263" s="46" t="s">
        <v>29</v>
      </c>
      <c r="F263" s="32" t="s">
        <v>58</v>
      </c>
      <c r="G263" s="46" t="s">
        <v>33</v>
      </c>
      <c r="H263" s="46">
        <v>2</v>
      </c>
      <c r="I263" s="46">
        <f t="shared" si="21"/>
        <v>-7.2644302229208693</v>
      </c>
      <c r="J263" s="46">
        <v>0.20928449536456342</v>
      </c>
      <c r="K263" s="46" t="s">
        <v>31</v>
      </c>
      <c r="L263" s="46" t="s">
        <v>31</v>
      </c>
      <c r="M263" s="46" t="s">
        <v>31</v>
      </c>
      <c r="N263" s="46"/>
      <c r="O263" s="393" t="s">
        <v>575</v>
      </c>
      <c r="P263" s="120">
        <v>0.7</v>
      </c>
      <c r="Q263" s="46" t="s">
        <v>221</v>
      </c>
      <c r="R263" s="46">
        <f>0.001*P263</f>
        <v>6.9999999999999999E-4</v>
      </c>
      <c r="S263" s="46"/>
      <c r="T263" s="46"/>
      <c r="U263" s="46"/>
    </row>
    <row r="264" spans="1:21">
      <c r="A264" s="338" t="s">
        <v>792</v>
      </c>
      <c r="B264" s="46">
        <f>R264</f>
        <v>2.2600000000000002E-2</v>
      </c>
      <c r="C264" s="46" t="s">
        <v>37</v>
      </c>
      <c r="D264" s="46" t="s">
        <v>40</v>
      </c>
      <c r="E264" s="46" t="s">
        <v>29</v>
      </c>
      <c r="F264" s="32" t="s">
        <v>741</v>
      </c>
      <c r="G264" s="46" t="s">
        <v>33</v>
      </c>
      <c r="H264" s="46">
        <v>2</v>
      </c>
      <c r="I264" s="46">
        <f t="shared" si="21"/>
        <v>-3.7898053727038969</v>
      </c>
      <c r="J264" s="46">
        <v>0.20928449536456342</v>
      </c>
      <c r="K264" s="46" t="s">
        <v>31</v>
      </c>
      <c r="L264" s="46" t="s">
        <v>31</v>
      </c>
      <c r="M264" s="46" t="s">
        <v>31</v>
      </c>
      <c r="N264" s="46"/>
      <c r="O264" s="393" t="s">
        <v>575</v>
      </c>
      <c r="P264" s="120">
        <v>22.6</v>
      </c>
      <c r="Q264" s="46" t="s">
        <v>221</v>
      </c>
      <c r="R264" s="46">
        <f>0.001*P264</f>
        <v>2.2600000000000002E-2</v>
      </c>
      <c r="S264" s="46"/>
      <c r="T264" s="46"/>
      <c r="U264" s="46"/>
    </row>
    <row r="265" spans="1:21">
      <c r="A265" s="46" t="s">
        <v>777</v>
      </c>
      <c r="B265" s="46">
        <f>R265</f>
        <v>5.3E-3</v>
      </c>
      <c r="C265" s="46" t="s">
        <v>37</v>
      </c>
      <c r="D265" s="400" t="s">
        <v>2</v>
      </c>
      <c r="E265" s="46" t="s">
        <v>29</v>
      </c>
      <c r="F265" s="32" t="s">
        <v>741</v>
      </c>
      <c r="G265" s="46" t="s">
        <v>33</v>
      </c>
      <c r="H265" s="46">
        <v>2</v>
      </c>
      <c r="I265" s="46">
        <f t="shared" si="21"/>
        <v>-5.2400484584240612</v>
      </c>
      <c r="J265" s="46">
        <v>0.20928449536456342</v>
      </c>
      <c r="K265" s="46" t="s">
        <v>31</v>
      </c>
      <c r="L265" s="46" t="s">
        <v>31</v>
      </c>
      <c r="M265" s="46" t="s">
        <v>31</v>
      </c>
      <c r="N265" s="46"/>
      <c r="O265" s="439" t="s">
        <v>575</v>
      </c>
      <c r="P265" s="155">
        <v>5.3</v>
      </c>
      <c r="Q265" s="46" t="s">
        <v>221</v>
      </c>
      <c r="R265" s="46">
        <f>0.001*P265</f>
        <v>5.3E-3</v>
      </c>
      <c r="S265" s="46"/>
      <c r="T265" s="46"/>
      <c r="U265" s="46"/>
    </row>
    <row r="266" spans="1:21" s="41" customFormat="1">
      <c r="A266" s="362" t="s">
        <v>5</v>
      </c>
      <c r="B266" s="363" t="s">
        <v>1122</v>
      </c>
      <c r="C266" s="345"/>
      <c r="D266" s="345"/>
      <c r="E266" s="345"/>
      <c r="F266" s="345"/>
      <c r="G266" s="345"/>
      <c r="H266" s="345"/>
      <c r="I266" s="345"/>
      <c r="J266" s="345"/>
      <c r="K266" s="345"/>
      <c r="L266" s="345"/>
      <c r="M266" s="345"/>
      <c r="N266" s="345"/>
      <c r="O266" s="345"/>
      <c r="P266" s="345"/>
      <c r="Q266" s="345"/>
      <c r="R266" s="345"/>
      <c r="S266" s="345"/>
      <c r="T266" s="345"/>
      <c r="U266" s="345"/>
    </row>
    <row r="267" spans="1:21">
      <c r="A267" s="338" t="s">
        <v>7</v>
      </c>
      <c r="B267" s="46" t="s">
        <v>779</v>
      </c>
      <c r="C267" s="337"/>
      <c r="D267" s="46"/>
      <c r="E267" s="46"/>
      <c r="F267" s="46"/>
      <c r="G267" s="46"/>
      <c r="H267" s="46"/>
      <c r="I267" s="46"/>
      <c r="J267" s="46"/>
      <c r="K267" s="46"/>
      <c r="L267" s="46"/>
      <c r="M267" s="46"/>
      <c r="N267" s="46"/>
      <c r="O267" s="46"/>
      <c r="P267" s="46"/>
      <c r="Q267" s="46"/>
      <c r="R267" s="46"/>
      <c r="S267" s="46"/>
      <c r="T267" s="46"/>
      <c r="U267" s="46"/>
    </row>
    <row r="268" spans="1:21">
      <c r="A268" s="416" t="s">
        <v>9</v>
      </c>
      <c r="B268" s="46" t="s">
        <v>1123</v>
      </c>
      <c r="C268" s="337"/>
      <c r="D268" s="46"/>
      <c r="E268" s="46"/>
      <c r="F268" s="46"/>
      <c r="G268" s="46"/>
      <c r="H268" s="46"/>
      <c r="I268" s="46"/>
      <c r="J268" s="46"/>
      <c r="K268" s="46"/>
      <c r="L268" s="46"/>
      <c r="M268" s="46"/>
      <c r="N268" s="46"/>
      <c r="O268" s="46"/>
      <c r="P268" s="46"/>
      <c r="Q268" s="46"/>
      <c r="R268" s="46"/>
      <c r="S268" s="46"/>
      <c r="T268" s="46"/>
      <c r="U268" s="46"/>
    </row>
    <row r="269" spans="1:21" ht="15.75" customHeight="1">
      <c r="A269" s="338" t="s">
        <v>11</v>
      </c>
      <c r="B269" s="339" t="s">
        <v>789</v>
      </c>
      <c r="C269" s="46"/>
      <c r="D269" s="46"/>
      <c r="E269" s="46"/>
      <c r="F269" s="46"/>
      <c r="G269" s="46"/>
      <c r="H269" s="46"/>
      <c r="I269" s="46"/>
      <c r="J269" s="46"/>
      <c r="K269" s="46"/>
      <c r="L269" s="46"/>
      <c r="M269" s="46"/>
      <c r="N269" s="46"/>
      <c r="O269" s="46"/>
      <c r="P269" s="46"/>
      <c r="Q269" s="46"/>
      <c r="R269" s="46"/>
      <c r="S269" s="46"/>
      <c r="T269" s="46"/>
      <c r="U269" s="46"/>
    </row>
    <row r="270" spans="1:21">
      <c r="A270" s="338" t="s">
        <v>13</v>
      </c>
      <c r="B270" s="46" t="s">
        <v>14</v>
      </c>
      <c r="C270" s="46"/>
      <c r="D270" s="46"/>
      <c r="E270" s="46"/>
      <c r="F270" s="46"/>
      <c r="G270" s="46"/>
      <c r="H270" s="46"/>
      <c r="I270" s="46"/>
      <c r="J270" s="46"/>
      <c r="K270" s="46"/>
      <c r="L270" s="46"/>
      <c r="M270" s="46"/>
      <c r="N270" s="46"/>
      <c r="O270" s="46"/>
      <c r="P270" s="46"/>
      <c r="Q270" s="46"/>
      <c r="R270" s="46"/>
      <c r="S270" s="46"/>
      <c r="T270" s="46"/>
      <c r="U270" s="46"/>
    </row>
    <row r="271" spans="1:21">
      <c r="A271" s="338" t="s">
        <v>15</v>
      </c>
      <c r="B271" s="407">
        <f>B276</f>
        <v>1.7000000000000001E-2</v>
      </c>
      <c r="C271" s="46"/>
      <c r="D271" s="46"/>
      <c r="E271" s="46"/>
      <c r="F271" s="46"/>
      <c r="G271" s="46"/>
      <c r="H271" s="46"/>
      <c r="I271" s="46"/>
      <c r="J271" s="46"/>
      <c r="K271" s="46"/>
      <c r="L271" s="46"/>
      <c r="M271" s="46"/>
      <c r="N271" s="46"/>
      <c r="O271" s="46"/>
      <c r="P271" s="46"/>
      <c r="Q271" s="46"/>
      <c r="R271" s="46"/>
      <c r="S271" s="46"/>
      <c r="T271" s="46"/>
      <c r="U271" s="46"/>
    </row>
    <row r="272" spans="1:21">
      <c r="A272" s="338" t="s">
        <v>16</v>
      </c>
      <c r="B272" s="46" t="s">
        <v>17</v>
      </c>
      <c r="C272" s="46"/>
      <c r="D272" s="46"/>
      <c r="E272" s="46"/>
      <c r="F272" s="46"/>
      <c r="G272" s="46"/>
      <c r="H272" s="46"/>
      <c r="I272" s="46"/>
      <c r="J272" s="46"/>
      <c r="K272" s="46"/>
      <c r="L272" s="46"/>
      <c r="M272" s="46"/>
      <c r="N272" s="46"/>
      <c r="O272" s="46"/>
      <c r="P272" s="46"/>
      <c r="Q272" s="46"/>
      <c r="R272" s="46"/>
      <c r="S272" s="46"/>
      <c r="T272" s="46"/>
      <c r="U272" s="46"/>
    </row>
    <row r="273" spans="1:21">
      <c r="A273" s="338" t="s">
        <v>18</v>
      </c>
      <c r="B273" s="46" t="s">
        <v>113</v>
      </c>
      <c r="C273" s="46"/>
      <c r="D273" s="46"/>
      <c r="E273" s="46"/>
      <c r="F273" s="46"/>
      <c r="G273" s="46"/>
      <c r="H273" s="46"/>
      <c r="I273" s="46"/>
      <c r="J273" s="46"/>
      <c r="K273" s="46"/>
      <c r="L273" s="46"/>
      <c r="M273" s="46"/>
      <c r="N273" s="46"/>
      <c r="O273" s="46"/>
      <c r="P273" s="46"/>
      <c r="Q273" s="46"/>
      <c r="R273" s="46"/>
      <c r="S273" s="46"/>
      <c r="T273" s="46"/>
      <c r="U273" s="46"/>
    </row>
    <row r="274" spans="1:21">
      <c r="A274" s="335" t="s">
        <v>19</v>
      </c>
      <c r="B274" s="46"/>
      <c r="C274" s="46"/>
      <c r="D274" s="46"/>
      <c r="E274" s="46"/>
      <c r="F274" s="46"/>
      <c r="G274" s="46"/>
      <c r="H274" s="46"/>
      <c r="I274" s="46"/>
      <c r="J274" s="46"/>
      <c r="K274" s="46"/>
      <c r="L274" s="46"/>
      <c r="M274" s="46"/>
      <c r="N274" s="46"/>
      <c r="O274" s="46"/>
      <c r="P274" s="46"/>
      <c r="Q274" s="46"/>
      <c r="R274" s="46"/>
      <c r="S274" s="46"/>
      <c r="T274" s="46"/>
      <c r="U274" s="46"/>
    </row>
    <row r="275" spans="1:21">
      <c r="A275" s="336" t="s">
        <v>20</v>
      </c>
      <c r="B275" s="336" t="s">
        <v>21</v>
      </c>
      <c r="C275" s="336" t="s">
        <v>18</v>
      </c>
      <c r="D275" s="336" t="s">
        <v>22</v>
      </c>
      <c r="E275" s="336" t="s">
        <v>7</v>
      </c>
      <c r="F275" s="336" t="s">
        <v>13</v>
      </c>
      <c r="G275" s="336" t="s">
        <v>16</v>
      </c>
      <c r="H275" s="336" t="s">
        <v>23</v>
      </c>
      <c r="I275" s="336" t="s">
        <v>24</v>
      </c>
      <c r="J275" s="336" t="s">
        <v>25</v>
      </c>
      <c r="K275" s="336" t="s">
        <v>26</v>
      </c>
      <c r="L275" s="336" t="s">
        <v>27</v>
      </c>
      <c r="M275" s="336" t="s">
        <v>28</v>
      </c>
      <c r="N275" s="336" t="s">
        <v>11</v>
      </c>
      <c r="O275" s="46"/>
      <c r="P275" s="46"/>
      <c r="Q275" s="46"/>
      <c r="R275" s="46"/>
      <c r="S275" s="46"/>
      <c r="T275" s="46"/>
      <c r="U275" s="46"/>
    </row>
    <row r="276" spans="1:21">
      <c r="A276" s="46" t="s">
        <v>1122</v>
      </c>
      <c r="B276" s="407">
        <f>P277</f>
        <v>1.7000000000000001E-2</v>
      </c>
      <c r="C276" s="46" t="s">
        <v>113</v>
      </c>
      <c r="D276" s="400" t="s">
        <v>2</v>
      </c>
      <c r="E276" s="46" t="s">
        <v>29</v>
      </c>
      <c r="F276" s="46" t="s">
        <v>14</v>
      </c>
      <c r="G276" s="46" t="s">
        <v>30</v>
      </c>
      <c r="H276" s="46">
        <v>1</v>
      </c>
      <c r="I276" s="46">
        <f t="shared" ref="I276:I277" si="22">B276</f>
        <v>1.7000000000000001E-2</v>
      </c>
      <c r="J276" s="46" t="s">
        <v>31</v>
      </c>
      <c r="K276" s="46" t="s">
        <v>31</v>
      </c>
      <c r="L276" s="46" t="s">
        <v>31</v>
      </c>
      <c r="M276" s="46" t="s">
        <v>31</v>
      </c>
      <c r="N276" s="46"/>
      <c r="O276" s="46"/>
      <c r="P276" s="46"/>
      <c r="Q276" s="46"/>
      <c r="R276" s="46"/>
      <c r="S276" s="46"/>
      <c r="T276" s="46"/>
      <c r="U276" s="46"/>
    </row>
    <row r="277" spans="1:21">
      <c r="A277" s="46" t="s">
        <v>1124</v>
      </c>
      <c r="B277" s="407">
        <f>P277</f>
        <v>1.7000000000000001E-2</v>
      </c>
      <c r="C277" s="46" t="s">
        <v>113</v>
      </c>
      <c r="D277" s="400" t="s">
        <v>2</v>
      </c>
      <c r="E277" s="46" t="s">
        <v>29</v>
      </c>
      <c r="F277" s="46" t="s">
        <v>14</v>
      </c>
      <c r="G277" s="46" t="s">
        <v>33</v>
      </c>
      <c r="H277" s="46">
        <v>1</v>
      </c>
      <c r="I277" s="46">
        <f t="shared" si="22"/>
        <v>1.7000000000000001E-2</v>
      </c>
      <c r="J277" s="46" t="s">
        <v>31</v>
      </c>
      <c r="K277" s="46" t="s">
        <v>31</v>
      </c>
      <c r="L277" s="46" t="s">
        <v>31</v>
      </c>
      <c r="M277" s="46" t="s">
        <v>31</v>
      </c>
      <c r="N277" s="46"/>
      <c r="O277" s="46"/>
      <c r="P277" s="462">
        <v>1.7000000000000001E-2</v>
      </c>
      <c r="Q277" s="46"/>
      <c r="R277" s="46"/>
      <c r="S277" s="46"/>
      <c r="T277" s="46"/>
      <c r="U277" s="46"/>
    </row>
    <row r="278" spans="1:21">
      <c r="A278" s="338" t="s">
        <v>75</v>
      </c>
      <c r="B278" s="342">
        <f>P278</f>
        <v>3.1799999999999997</v>
      </c>
      <c r="C278" s="46" t="s">
        <v>39</v>
      </c>
      <c r="D278" s="46" t="s">
        <v>40</v>
      </c>
      <c r="E278" s="46" t="s">
        <v>29</v>
      </c>
      <c r="F278" s="32" t="s">
        <v>35</v>
      </c>
      <c r="G278" s="46" t="s">
        <v>33</v>
      </c>
      <c r="H278" s="46">
        <v>2</v>
      </c>
      <c r="I278" s="46">
        <f t="shared" ref="I278:I279" si="23">LN(B278)</f>
        <v>1.1568811967920853</v>
      </c>
      <c r="J278" s="46">
        <v>0.20928449536456342</v>
      </c>
      <c r="K278" s="46" t="s">
        <v>31</v>
      </c>
      <c r="L278" s="46" t="s">
        <v>31</v>
      </c>
      <c r="M278" s="46" t="s">
        <v>31</v>
      </c>
      <c r="N278" s="46"/>
      <c r="O278" s="393" t="s">
        <v>216</v>
      </c>
      <c r="P278" s="120">
        <f>0.99+2.19</f>
        <v>3.1799999999999997</v>
      </c>
      <c r="Q278" s="46"/>
      <c r="R278" s="46"/>
      <c r="S278" s="46"/>
      <c r="T278" s="46"/>
      <c r="U278" s="46"/>
    </row>
    <row r="279" spans="1:21">
      <c r="A279" s="338" t="s">
        <v>792</v>
      </c>
      <c r="B279" s="342">
        <f>R279</f>
        <v>6.4000000000000003E-3</v>
      </c>
      <c r="C279" s="46" t="s">
        <v>37</v>
      </c>
      <c r="D279" s="46" t="s">
        <v>40</v>
      </c>
      <c r="E279" s="46" t="s">
        <v>29</v>
      </c>
      <c r="F279" s="32" t="s">
        <v>741</v>
      </c>
      <c r="G279" s="46" t="s">
        <v>33</v>
      </c>
      <c r="H279" s="46">
        <v>2</v>
      </c>
      <c r="I279" s="46">
        <f t="shared" si="23"/>
        <v>-5.0514572886165112</v>
      </c>
      <c r="J279" s="46">
        <v>0.20928449536456342</v>
      </c>
      <c r="K279" s="46" t="s">
        <v>31</v>
      </c>
      <c r="L279" s="46" t="s">
        <v>31</v>
      </c>
      <c r="M279" s="46" t="s">
        <v>31</v>
      </c>
      <c r="N279" s="46"/>
      <c r="O279" s="393" t="s">
        <v>575</v>
      </c>
      <c r="P279" s="120">
        <v>6.4</v>
      </c>
      <c r="Q279" s="46" t="s">
        <v>221</v>
      </c>
      <c r="R279" s="46">
        <f>P279*0.001</f>
        <v>6.4000000000000003E-3</v>
      </c>
      <c r="S279" s="46"/>
      <c r="T279" s="46"/>
      <c r="U279" s="46"/>
    </row>
    <row r="280" spans="1:21">
      <c r="A280" s="47" t="s">
        <v>530</v>
      </c>
      <c r="B280" s="342">
        <f>R280</f>
        <v>7.7999999999999996E-3</v>
      </c>
      <c r="C280" s="46" t="s">
        <v>37</v>
      </c>
      <c r="D280" s="46" t="s">
        <v>40</v>
      </c>
      <c r="E280" s="46" t="s">
        <v>29</v>
      </c>
      <c r="F280" s="46" t="s">
        <v>35</v>
      </c>
      <c r="G280" s="46" t="s">
        <v>33</v>
      </c>
      <c r="H280" s="46">
        <v>2</v>
      </c>
      <c r="I280" s="46">
        <f>LN(B280)</f>
        <v>-4.853631545286591</v>
      </c>
      <c r="J280" s="46">
        <v>0.20928449536456342</v>
      </c>
      <c r="K280" s="46" t="s">
        <v>31</v>
      </c>
      <c r="L280" s="46" t="s">
        <v>31</v>
      </c>
      <c r="M280" s="46" t="s">
        <v>31</v>
      </c>
      <c r="N280" s="46"/>
      <c r="O280" s="393" t="s">
        <v>575</v>
      </c>
      <c r="P280" s="120">
        <v>7.8</v>
      </c>
      <c r="Q280" s="46" t="s">
        <v>221</v>
      </c>
      <c r="R280" s="46">
        <f>P280*0.001</f>
        <v>7.7999999999999996E-3</v>
      </c>
      <c r="S280" s="46"/>
      <c r="T280" s="46"/>
      <c r="U280" s="46"/>
    </row>
    <row r="281" spans="1:21">
      <c r="A281" s="46" t="s">
        <v>777</v>
      </c>
      <c r="B281" s="342">
        <f>R281</f>
        <v>7.7999999999999996E-3</v>
      </c>
      <c r="C281" s="46" t="s">
        <v>37</v>
      </c>
      <c r="D281" s="400" t="s">
        <v>2</v>
      </c>
      <c r="E281" s="46" t="s">
        <v>29</v>
      </c>
      <c r="F281" s="32" t="s">
        <v>741</v>
      </c>
      <c r="G281" s="46" t="s">
        <v>33</v>
      </c>
      <c r="H281" s="46">
        <v>2</v>
      </c>
      <c r="I281" s="46">
        <f t="shared" ref="I281" si="24">LN(B281)</f>
        <v>-4.853631545286591</v>
      </c>
      <c r="J281" s="46">
        <v>0.20928449536456342</v>
      </c>
      <c r="K281" s="46" t="s">
        <v>31</v>
      </c>
      <c r="L281" s="46" t="s">
        <v>31</v>
      </c>
      <c r="M281" s="46" t="s">
        <v>31</v>
      </c>
      <c r="N281" s="46"/>
      <c r="O281" s="439" t="s">
        <v>575</v>
      </c>
      <c r="P281" s="155">
        <v>7.8</v>
      </c>
      <c r="Q281" s="46" t="s">
        <v>221</v>
      </c>
      <c r="R281" s="46">
        <f>0.001*P281</f>
        <v>7.7999999999999996E-3</v>
      </c>
      <c r="S281" s="46"/>
      <c r="T281" s="46"/>
      <c r="U281" s="46"/>
    </row>
    <row r="282" spans="1:21" s="41" customFormat="1">
      <c r="A282" s="362" t="s">
        <v>5</v>
      </c>
      <c r="B282" s="363" t="s">
        <v>1124</v>
      </c>
      <c r="C282" s="345"/>
      <c r="D282" s="345"/>
      <c r="E282" s="345"/>
      <c r="F282" s="345"/>
      <c r="G282" s="345"/>
      <c r="H282" s="345"/>
      <c r="I282" s="345"/>
      <c r="J282" s="345"/>
      <c r="K282" s="345"/>
      <c r="L282" s="345"/>
      <c r="M282" s="345"/>
      <c r="N282" s="345"/>
      <c r="O282" s="345"/>
      <c r="P282" s="429"/>
      <c r="Q282" s="345"/>
      <c r="R282" s="345"/>
      <c r="S282" s="345"/>
      <c r="T282" s="345"/>
      <c r="U282" s="345"/>
    </row>
    <row r="283" spans="1:21">
      <c r="A283" s="338" t="s">
        <v>7</v>
      </c>
      <c r="B283" s="46" t="s">
        <v>779</v>
      </c>
      <c r="C283" s="337"/>
      <c r="D283" s="46"/>
      <c r="E283" s="46"/>
      <c r="F283" s="46"/>
      <c r="G283" s="46"/>
      <c r="H283" s="46"/>
      <c r="I283" s="46"/>
      <c r="J283" s="46"/>
      <c r="K283" s="46"/>
      <c r="L283" s="46"/>
      <c r="M283" s="46"/>
      <c r="N283" s="46"/>
      <c r="O283" s="46"/>
      <c r="P283" s="46"/>
      <c r="Q283" s="46"/>
      <c r="R283" s="46"/>
      <c r="S283" s="46"/>
      <c r="T283" s="46"/>
      <c r="U283" s="46"/>
    </row>
    <row r="284" spans="1:21">
      <c r="A284" s="416" t="s">
        <v>9</v>
      </c>
      <c r="B284" s="46" t="s">
        <v>1125</v>
      </c>
      <c r="C284" s="337"/>
      <c r="D284" s="46"/>
      <c r="E284" s="46"/>
      <c r="F284" s="46"/>
      <c r="G284" s="46"/>
      <c r="H284" s="46"/>
      <c r="I284" s="46"/>
      <c r="J284" s="46"/>
      <c r="K284" s="46"/>
      <c r="L284" s="46"/>
      <c r="M284" s="46"/>
      <c r="N284" s="46"/>
      <c r="O284" s="46"/>
      <c r="P284" s="46"/>
      <c r="Q284" s="46"/>
      <c r="R284" s="46"/>
      <c r="S284" s="46"/>
      <c r="T284" s="46"/>
      <c r="U284" s="46"/>
    </row>
    <row r="285" spans="1:21" ht="15.75" customHeight="1">
      <c r="A285" s="338" t="s">
        <v>11</v>
      </c>
      <c r="B285" s="339" t="s">
        <v>789</v>
      </c>
      <c r="C285" s="46"/>
      <c r="D285" s="46"/>
      <c r="E285" s="46"/>
      <c r="F285" s="46"/>
      <c r="G285" s="46"/>
      <c r="H285" s="46"/>
      <c r="I285" s="46"/>
      <c r="J285" s="46"/>
      <c r="K285" s="46"/>
      <c r="L285" s="46"/>
      <c r="M285" s="46"/>
      <c r="N285" s="46"/>
      <c r="O285" s="46"/>
      <c r="P285" s="46"/>
      <c r="Q285" s="46"/>
      <c r="R285" s="46"/>
      <c r="S285" s="46"/>
      <c r="T285" s="46"/>
      <c r="U285" s="46"/>
    </row>
    <row r="286" spans="1:21">
      <c r="A286" s="338" t="s">
        <v>13</v>
      </c>
      <c r="B286" s="46" t="s">
        <v>14</v>
      </c>
      <c r="C286" s="46"/>
      <c r="D286" s="46"/>
      <c r="E286" s="46"/>
      <c r="F286" s="46"/>
      <c r="G286" s="46"/>
      <c r="H286" s="46"/>
      <c r="I286" s="46"/>
      <c r="J286" s="46"/>
      <c r="K286" s="46"/>
      <c r="L286" s="46"/>
      <c r="M286" s="46"/>
      <c r="N286" s="46"/>
      <c r="O286" s="46"/>
      <c r="P286" s="46"/>
      <c r="Q286" s="46"/>
      <c r="R286" s="46"/>
      <c r="S286" s="46"/>
      <c r="T286" s="46"/>
      <c r="U286" s="46"/>
    </row>
    <row r="287" spans="1:21">
      <c r="A287" s="338" t="s">
        <v>15</v>
      </c>
      <c r="B287" s="407">
        <f>B292</f>
        <v>0.03</v>
      </c>
      <c r="C287" s="46"/>
      <c r="D287" s="46"/>
      <c r="E287" s="46"/>
      <c r="F287" s="46"/>
      <c r="G287" s="46"/>
      <c r="H287" s="46"/>
      <c r="I287" s="46"/>
      <c r="J287" s="46"/>
      <c r="K287" s="46"/>
      <c r="L287" s="46"/>
      <c r="M287" s="46"/>
      <c r="N287" s="46"/>
      <c r="O287" s="46"/>
      <c r="P287" s="46"/>
      <c r="Q287" s="46"/>
      <c r="R287" s="46"/>
      <c r="S287" s="46"/>
      <c r="T287" s="46"/>
      <c r="U287" s="46"/>
    </row>
    <row r="288" spans="1:21">
      <c r="A288" s="338" t="s">
        <v>16</v>
      </c>
      <c r="B288" s="46" t="s">
        <v>17</v>
      </c>
      <c r="C288" s="46"/>
      <c r="D288" s="46"/>
      <c r="E288" s="46"/>
      <c r="F288" s="46"/>
      <c r="G288" s="46"/>
      <c r="H288" s="46"/>
      <c r="I288" s="46"/>
      <c r="J288" s="46"/>
      <c r="K288" s="46"/>
      <c r="L288" s="46"/>
      <c r="M288" s="46"/>
      <c r="N288" s="46"/>
      <c r="O288" s="46"/>
      <c r="P288" s="46"/>
      <c r="Q288" s="46"/>
      <c r="R288" s="336" t="s">
        <v>880</v>
      </c>
      <c r="S288" s="46"/>
      <c r="T288" s="46"/>
      <c r="U288" s="46"/>
    </row>
    <row r="289" spans="1:21">
      <c r="A289" s="338" t="s">
        <v>18</v>
      </c>
      <c r="B289" s="46" t="s">
        <v>113</v>
      </c>
      <c r="C289" s="46"/>
      <c r="D289" s="46"/>
      <c r="E289" s="46"/>
      <c r="F289" s="46"/>
      <c r="G289" s="46"/>
      <c r="H289" s="46"/>
      <c r="I289" s="46"/>
      <c r="J289" s="46"/>
      <c r="K289" s="46"/>
      <c r="L289" s="46"/>
      <c r="M289" s="46"/>
      <c r="N289" s="46"/>
      <c r="O289" s="46"/>
      <c r="P289" s="46"/>
      <c r="Q289" s="46"/>
      <c r="R289" s="46" t="s">
        <v>881</v>
      </c>
      <c r="S289" s="46">
        <v>8900</v>
      </c>
      <c r="T289" s="46" t="s">
        <v>882</v>
      </c>
      <c r="U289" s="46"/>
    </row>
    <row r="290" spans="1:21">
      <c r="A290" s="335" t="s">
        <v>19</v>
      </c>
      <c r="B290" s="46"/>
      <c r="C290" s="46"/>
      <c r="D290" s="46"/>
      <c r="E290" s="46"/>
      <c r="F290" s="46"/>
      <c r="G290" s="46"/>
      <c r="H290" s="46"/>
      <c r="I290" s="46"/>
      <c r="J290" s="46"/>
      <c r="K290" s="46"/>
      <c r="L290" s="46"/>
      <c r="M290" s="46"/>
      <c r="N290" s="46"/>
      <c r="O290" s="46"/>
      <c r="P290" s="46"/>
      <c r="Q290" s="46"/>
      <c r="R290" s="46" t="s">
        <v>883</v>
      </c>
      <c r="S290" s="46">
        <f>5*10^-6</f>
        <v>4.9999999999999996E-6</v>
      </c>
      <c r="T290" s="46" t="s">
        <v>884</v>
      </c>
      <c r="U290" s="46"/>
    </row>
    <row r="291" spans="1:21">
      <c r="A291" s="336" t="s">
        <v>20</v>
      </c>
      <c r="B291" s="336" t="s">
        <v>21</v>
      </c>
      <c r="C291" s="336" t="s">
        <v>18</v>
      </c>
      <c r="D291" s="336" t="s">
        <v>22</v>
      </c>
      <c r="E291" s="336" t="s">
        <v>7</v>
      </c>
      <c r="F291" s="336" t="s">
        <v>13</v>
      </c>
      <c r="G291" s="336" t="s">
        <v>16</v>
      </c>
      <c r="H291" s="336" t="s">
        <v>23</v>
      </c>
      <c r="I291" s="336" t="s">
        <v>24</v>
      </c>
      <c r="J291" s="336" t="s">
        <v>25</v>
      </c>
      <c r="K291" s="336" t="s">
        <v>26</v>
      </c>
      <c r="L291" s="336" t="s">
        <v>27</v>
      </c>
      <c r="M291" s="336" t="s">
        <v>28</v>
      </c>
      <c r="N291" s="336" t="s">
        <v>11</v>
      </c>
      <c r="O291" s="46"/>
      <c r="P291" s="46"/>
      <c r="Q291" s="46"/>
      <c r="R291" s="419" t="s">
        <v>885</v>
      </c>
      <c r="S291" s="420">
        <f>S290*S289</f>
        <v>4.4499999999999998E-2</v>
      </c>
      <c r="T291" s="421" t="s">
        <v>886</v>
      </c>
      <c r="U291" s="46"/>
    </row>
    <row r="292" spans="1:21">
      <c r="A292" s="46" t="s">
        <v>1124</v>
      </c>
      <c r="B292" s="407">
        <v>0.03</v>
      </c>
      <c r="C292" s="46" t="s">
        <v>113</v>
      </c>
      <c r="D292" s="400" t="s">
        <v>2</v>
      </c>
      <c r="E292" s="46" t="s">
        <v>29</v>
      </c>
      <c r="F292" s="46" t="s">
        <v>14</v>
      </c>
      <c r="G292" s="46" t="s">
        <v>30</v>
      </c>
      <c r="H292" s="46">
        <v>1</v>
      </c>
      <c r="I292" s="46">
        <f t="shared" ref="I292:I294" si="25">B292</f>
        <v>0.03</v>
      </c>
      <c r="J292" s="46" t="s">
        <v>31</v>
      </c>
      <c r="K292" s="46" t="s">
        <v>31</v>
      </c>
      <c r="L292" s="46" t="s">
        <v>31</v>
      </c>
      <c r="M292" s="46" t="s">
        <v>31</v>
      </c>
      <c r="N292" s="46"/>
      <c r="O292" s="393" t="s">
        <v>887</v>
      </c>
      <c r="P292" s="406">
        <f>B292*100</f>
        <v>3</v>
      </c>
      <c r="Q292" s="46"/>
      <c r="R292" s="46"/>
      <c r="S292" s="46"/>
      <c r="T292" s="46"/>
      <c r="U292" s="46"/>
    </row>
    <row r="293" spans="1:21">
      <c r="A293" s="46" t="s">
        <v>1126</v>
      </c>
      <c r="B293" s="407">
        <v>0.03</v>
      </c>
      <c r="C293" s="46" t="s">
        <v>113</v>
      </c>
      <c r="D293" s="400" t="s">
        <v>2</v>
      </c>
      <c r="E293" s="46" t="s">
        <v>29</v>
      </c>
      <c r="F293" s="46" t="s">
        <v>14</v>
      </c>
      <c r="G293" s="46" t="s">
        <v>33</v>
      </c>
      <c r="H293" s="46">
        <v>1</v>
      </c>
      <c r="I293" s="46">
        <f t="shared" si="25"/>
        <v>0.03</v>
      </c>
      <c r="J293" s="46">
        <v>7.2284161474004766E-2</v>
      </c>
      <c r="K293" s="46" t="s">
        <v>31</v>
      </c>
      <c r="L293" s="46" t="s">
        <v>31</v>
      </c>
      <c r="M293" s="46" t="s">
        <v>31</v>
      </c>
      <c r="N293" s="46"/>
      <c r="O293" s="393" t="s">
        <v>887</v>
      </c>
      <c r="P293" s="406">
        <f>B293*100</f>
        <v>3</v>
      </c>
      <c r="Q293" s="46"/>
      <c r="R293" s="46" t="s">
        <v>548</v>
      </c>
      <c r="S293" s="46"/>
      <c r="T293" s="46"/>
      <c r="U293" s="402"/>
    </row>
    <row r="294" spans="1:21">
      <c r="A294" s="62" t="s">
        <v>1069</v>
      </c>
      <c r="B294" s="412">
        <f>T294</f>
        <v>3.8269999999999998E-2</v>
      </c>
      <c r="C294" s="46" t="s">
        <v>37</v>
      </c>
      <c r="D294" s="400" t="s">
        <v>2</v>
      </c>
      <c r="E294" s="46" t="s">
        <v>29</v>
      </c>
      <c r="F294" s="32" t="s">
        <v>14</v>
      </c>
      <c r="G294" s="46" t="s">
        <v>33</v>
      </c>
      <c r="H294" s="46">
        <v>1</v>
      </c>
      <c r="I294" s="46">
        <f t="shared" si="25"/>
        <v>3.8269999999999998E-2</v>
      </c>
      <c r="J294" s="46">
        <v>7.2284161474004766E-2</v>
      </c>
      <c r="K294" s="46" t="s">
        <v>31</v>
      </c>
      <c r="L294" s="46" t="s">
        <v>31</v>
      </c>
      <c r="M294" s="46" t="s">
        <v>31</v>
      </c>
      <c r="N294" s="46"/>
      <c r="O294" s="424"/>
      <c r="P294" s="425"/>
      <c r="Q294" s="46"/>
      <c r="R294" s="422">
        <v>0.86</v>
      </c>
      <c r="S294" s="423" t="s">
        <v>605</v>
      </c>
      <c r="T294" s="422">
        <f>R294*S291</f>
        <v>3.8269999999999998E-2</v>
      </c>
      <c r="U294" s="423" t="s">
        <v>221</v>
      </c>
    </row>
    <row r="295" spans="1:21">
      <c r="A295" s="338" t="s">
        <v>792</v>
      </c>
      <c r="B295" s="46">
        <f>P295</f>
        <v>6.9</v>
      </c>
      <c r="C295" s="46" t="s">
        <v>37</v>
      </c>
      <c r="D295" s="46" t="s">
        <v>40</v>
      </c>
      <c r="E295" s="46" t="s">
        <v>29</v>
      </c>
      <c r="F295" s="32" t="s">
        <v>741</v>
      </c>
      <c r="G295" s="46" t="s">
        <v>33</v>
      </c>
      <c r="H295" s="46">
        <v>2</v>
      </c>
      <c r="I295" s="46">
        <f t="shared" ref="I295" si="26">LN(B295)</f>
        <v>1.9315214116032138</v>
      </c>
      <c r="J295" s="46">
        <v>7.2284161474004766E-2</v>
      </c>
      <c r="K295" s="46" t="s">
        <v>31</v>
      </c>
      <c r="L295" s="46" t="s">
        <v>31</v>
      </c>
      <c r="M295" s="46" t="s">
        <v>31</v>
      </c>
      <c r="N295" s="46"/>
      <c r="O295" s="393" t="s">
        <v>221</v>
      </c>
      <c r="P295" s="120">
        <v>6.9</v>
      </c>
      <c r="Q295" s="46"/>
      <c r="R295" s="46"/>
      <c r="S295" s="46"/>
      <c r="T295" s="46"/>
      <c r="U295" s="46"/>
    </row>
    <row r="296" spans="1:21">
      <c r="A296" s="47" t="s">
        <v>869</v>
      </c>
      <c r="B296" s="342">
        <f>R296</f>
        <v>2.9999999999999997E-4</v>
      </c>
      <c r="C296" s="46" t="s">
        <v>37</v>
      </c>
      <c r="D296" s="46" t="s">
        <v>40</v>
      </c>
      <c r="E296" s="46" t="s">
        <v>29</v>
      </c>
      <c r="F296" s="32" t="s">
        <v>58</v>
      </c>
      <c r="G296" s="46" t="s">
        <v>33</v>
      </c>
      <c r="H296" s="46">
        <v>2</v>
      </c>
      <c r="I296" s="46">
        <f>LN(B296)</f>
        <v>-8.1117280833080727</v>
      </c>
      <c r="J296" s="46">
        <v>7.2284161474004766E-2</v>
      </c>
      <c r="K296" s="46" t="s">
        <v>31</v>
      </c>
      <c r="L296" s="46" t="s">
        <v>31</v>
      </c>
      <c r="M296" s="46" t="s">
        <v>31</v>
      </c>
      <c r="N296" s="46"/>
      <c r="O296" s="408" t="s">
        <v>523</v>
      </c>
      <c r="P296" s="168">
        <v>0.3</v>
      </c>
      <c r="Q296" s="393" t="s">
        <v>221</v>
      </c>
      <c r="R296" s="46">
        <f>P296*0.001</f>
        <v>2.9999999999999997E-4</v>
      </c>
      <c r="S296" s="46"/>
      <c r="T296" s="46"/>
      <c r="U296" s="46"/>
    </row>
    <row r="297" spans="1:21">
      <c r="A297" s="47" t="s">
        <v>226</v>
      </c>
      <c r="B297" s="46">
        <f>R297</f>
        <v>6.9000000000000008E-3</v>
      </c>
      <c r="C297" s="46" t="s">
        <v>42</v>
      </c>
      <c r="D297" s="46" t="s">
        <v>40</v>
      </c>
      <c r="E297" s="46" t="s">
        <v>29</v>
      </c>
      <c r="F297" s="32" t="s">
        <v>741</v>
      </c>
      <c r="G297" s="46" t="s">
        <v>33</v>
      </c>
      <c r="H297" s="46">
        <v>2</v>
      </c>
      <c r="I297" s="46">
        <f t="shared" ref="I297" si="27">LN(B297)</f>
        <v>-4.976233867378923</v>
      </c>
      <c r="J297" s="46">
        <v>7.2284161474004766E-2</v>
      </c>
      <c r="K297" s="46" t="s">
        <v>31</v>
      </c>
      <c r="L297" s="46" t="s">
        <v>31</v>
      </c>
      <c r="M297" s="46" t="s">
        <v>31</v>
      </c>
      <c r="N297" s="46"/>
      <c r="O297" s="410" t="s">
        <v>858</v>
      </c>
      <c r="P297" s="155">
        <v>6.9</v>
      </c>
      <c r="Q297" s="46" t="s">
        <v>219</v>
      </c>
      <c r="R297" s="46">
        <f>P297*0.001</f>
        <v>6.9000000000000008E-3</v>
      </c>
      <c r="S297" s="46"/>
      <c r="T297" s="46"/>
      <c r="U297" s="46"/>
    </row>
    <row r="298" spans="1:21" s="41" customFormat="1">
      <c r="A298" s="362" t="s">
        <v>5</v>
      </c>
      <c r="B298" s="363" t="s">
        <v>1126</v>
      </c>
      <c r="C298" s="345"/>
      <c r="D298" s="345"/>
      <c r="E298" s="345"/>
      <c r="F298" s="345"/>
      <c r="G298" s="345"/>
      <c r="H298" s="345"/>
      <c r="I298" s="345"/>
      <c r="J298" s="345"/>
      <c r="K298" s="345"/>
      <c r="L298" s="345"/>
      <c r="M298" s="345"/>
      <c r="N298" s="345"/>
      <c r="O298" s="345"/>
      <c r="P298" s="345"/>
      <c r="Q298" s="345"/>
      <c r="R298" s="345"/>
      <c r="S298" s="345"/>
      <c r="T298" s="345"/>
      <c r="U298" s="345"/>
    </row>
    <row r="299" spans="1:21">
      <c r="A299" s="338" t="s">
        <v>7</v>
      </c>
      <c r="B299" s="46" t="s">
        <v>779</v>
      </c>
      <c r="C299" s="337"/>
      <c r="D299" s="46"/>
      <c r="E299" s="46"/>
      <c r="F299" s="46"/>
      <c r="G299" s="46"/>
      <c r="H299" s="46"/>
      <c r="I299" s="46"/>
      <c r="J299" s="46"/>
      <c r="K299" s="46"/>
      <c r="L299" s="46"/>
      <c r="M299" s="46"/>
      <c r="N299" s="46"/>
      <c r="O299" s="46"/>
      <c r="P299" s="46"/>
      <c r="Q299" s="46"/>
      <c r="R299" s="46"/>
      <c r="S299" s="46"/>
      <c r="T299" s="46"/>
      <c r="U299" s="46"/>
    </row>
    <row r="300" spans="1:21">
      <c r="A300" s="416" t="s">
        <v>9</v>
      </c>
      <c r="B300" s="46" t="s">
        <v>1127</v>
      </c>
      <c r="C300" s="337"/>
      <c r="D300" s="46"/>
      <c r="E300" s="46"/>
      <c r="F300" s="46"/>
      <c r="G300" s="46"/>
      <c r="H300" s="46"/>
      <c r="I300" s="46"/>
      <c r="J300" s="46"/>
      <c r="K300" s="46"/>
      <c r="L300" s="46"/>
      <c r="M300" s="46"/>
      <c r="N300" s="46"/>
      <c r="O300" s="46"/>
      <c r="P300" s="46"/>
      <c r="Q300" s="46"/>
      <c r="R300" s="46"/>
      <c r="S300" s="46"/>
      <c r="T300" s="46"/>
      <c r="U300" s="46"/>
    </row>
    <row r="301" spans="1:21" ht="15.75" customHeight="1">
      <c r="A301" s="338" t="s">
        <v>11</v>
      </c>
      <c r="B301" s="339" t="s">
        <v>789</v>
      </c>
      <c r="C301" s="46"/>
      <c r="D301" s="46"/>
      <c r="E301" s="46"/>
      <c r="F301" s="46"/>
      <c r="G301" s="46"/>
      <c r="H301" s="46"/>
      <c r="I301" s="46"/>
      <c r="J301" s="46"/>
      <c r="K301" s="46"/>
      <c r="L301" s="46"/>
      <c r="M301" s="46"/>
      <c r="N301" s="46"/>
      <c r="O301" s="46"/>
      <c r="P301" s="46"/>
      <c r="Q301" s="46"/>
      <c r="R301" s="46"/>
      <c r="S301" s="46"/>
      <c r="T301" s="46"/>
      <c r="U301" s="46"/>
    </row>
    <row r="302" spans="1:21">
      <c r="A302" s="338" t="s">
        <v>13</v>
      </c>
      <c r="B302" s="46" t="s">
        <v>14</v>
      </c>
      <c r="C302" s="46"/>
      <c r="D302" s="46"/>
      <c r="E302" s="46"/>
      <c r="F302" s="46"/>
      <c r="G302" s="46"/>
      <c r="H302" s="46"/>
      <c r="I302" s="46"/>
      <c r="J302" s="46"/>
      <c r="K302" s="46"/>
      <c r="L302" s="46"/>
      <c r="M302" s="46"/>
      <c r="N302" s="46"/>
      <c r="O302" s="46"/>
      <c r="P302" s="46"/>
      <c r="Q302" s="46"/>
      <c r="R302" s="46"/>
      <c r="S302" s="46"/>
      <c r="T302" s="46"/>
      <c r="U302" s="46"/>
    </row>
    <row r="303" spans="1:21">
      <c r="A303" s="338" t="s">
        <v>15</v>
      </c>
      <c r="B303" s="407">
        <f>B308</f>
        <v>1.7000000000000001E-2</v>
      </c>
      <c r="C303" s="46"/>
      <c r="D303" s="46"/>
      <c r="E303" s="46"/>
      <c r="F303" s="46"/>
      <c r="G303" s="46"/>
      <c r="H303" s="46"/>
      <c r="I303" s="46"/>
      <c r="J303" s="46"/>
      <c r="K303" s="46"/>
      <c r="L303" s="46"/>
      <c r="M303" s="46"/>
      <c r="N303" s="46"/>
      <c r="O303" s="46"/>
      <c r="P303" s="46"/>
      <c r="Q303" s="46"/>
      <c r="R303" s="46"/>
      <c r="S303" s="46"/>
      <c r="T303" s="46"/>
      <c r="U303" s="46"/>
    </row>
    <row r="304" spans="1:21">
      <c r="A304" s="338" t="s">
        <v>16</v>
      </c>
      <c r="B304" s="46" t="s">
        <v>17</v>
      </c>
      <c r="C304" s="46"/>
      <c r="D304" s="46"/>
      <c r="E304" s="46"/>
      <c r="F304" s="46"/>
      <c r="G304" s="46"/>
      <c r="H304" s="46"/>
      <c r="I304" s="46"/>
      <c r="J304" s="46"/>
      <c r="K304" s="46"/>
      <c r="L304" s="46"/>
      <c r="M304" s="46"/>
      <c r="N304" s="46"/>
      <c r="O304" s="46"/>
      <c r="P304" s="46"/>
      <c r="Q304" s="46"/>
      <c r="R304" s="46"/>
      <c r="S304" s="46"/>
      <c r="T304" s="46"/>
      <c r="U304" s="46"/>
    </row>
    <row r="305" spans="1:21">
      <c r="A305" s="338" t="s">
        <v>18</v>
      </c>
      <c r="B305" s="46" t="s">
        <v>113</v>
      </c>
      <c r="C305" s="46"/>
      <c r="D305" s="46"/>
      <c r="E305" s="46"/>
      <c r="F305" s="46"/>
      <c r="G305" s="46"/>
      <c r="H305" s="46"/>
      <c r="I305" s="46"/>
      <c r="J305" s="46"/>
      <c r="K305" s="46"/>
      <c r="L305" s="46"/>
      <c r="M305" s="46"/>
      <c r="N305" s="46"/>
      <c r="O305" s="46"/>
      <c r="P305" s="46"/>
      <c r="Q305" s="46"/>
      <c r="R305" s="46"/>
      <c r="S305" s="46"/>
      <c r="T305" s="46"/>
      <c r="U305" s="46"/>
    </row>
    <row r="306" spans="1:21">
      <c r="A306" s="335" t="s">
        <v>19</v>
      </c>
      <c r="B306" s="46"/>
      <c r="C306" s="46"/>
      <c r="D306" s="46"/>
      <c r="E306" s="46"/>
      <c r="F306" s="46"/>
      <c r="G306" s="46"/>
      <c r="H306" s="46"/>
      <c r="I306" s="46"/>
      <c r="J306" s="46"/>
      <c r="K306" s="46"/>
      <c r="L306" s="46"/>
      <c r="M306" s="46"/>
      <c r="N306" s="46"/>
      <c r="O306" s="46"/>
      <c r="P306" s="46"/>
      <c r="Q306" s="46"/>
      <c r="R306" s="46"/>
      <c r="S306" s="46"/>
      <c r="T306" s="46"/>
      <c r="U306" s="46"/>
    </row>
    <row r="307" spans="1:21">
      <c r="A307" s="336" t="s">
        <v>20</v>
      </c>
      <c r="B307" s="336" t="s">
        <v>21</v>
      </c>
      <c r="C307" s="336" t="s">
        <v>18</v>
      </c>
      <c r="D307" s="336" t="s">
        <v>22</v>
      </c>
      <c r="E307" s="336" t="s">
        <v>7</v>
      </c>
      <c r="F307" s="336" t="s">
        <v>13</v>
      </c>
      <c r="G307" s="336" t="s">
        <v>16</v>
      </c>
      <c r="H307" s="336" t="s">
        <v>23</v>
      </c>
      <c r="I307" s="336" t="s">
        <v>24</v>
      </c>
      <c r="J307" s="336" t="s">
        <v>25</v>
      </c>
      <c r="K307" s="336" t="s">
        <v>26</v>
      </c>
      <c r="L307" s="336" t="s">
        <v>27</v>
      </c>
      <c r="M307" s="336" t="s">
        <v>28</v>
      </c>
      <c r="N307" s="336" t="s">
        <v>11</v>
      </c>
      <c r="O307" s="46"/>
      <c r="P307" s="46"/>
      <c r="Q307" s="46"/>
      <c r="R307" s="46"/>
      <c r="S307" s="46"/>
      <c r="T307" s="407"/>
      <c r="U307" s="46"/>
    </row>
    <row r="308" spans="1:21">
      <c r="A308" s="46" t="s">
        <v>1126</v>
      </c>
      <c r="B308" s="407">
        <f t="shared" ref="B308:B318" si="28">P308</f>
        <v>1.7000000000000001E-2</v>
      </c>
      <c r="C308" s="46" t="s">
        <v>113</v>
      </c>
      <c r="D308" s="400" t="s">
        <v>2</v>
      </c>
      <c r="E308" s="46" t="s">
        <v>29</v>
      </c>
      <c r="F308" s="46" t="s">
        <v>14</v>
      </c>
      <c r="G308" s="46" t="s">
        <v>30</v>
      </c>
      <c r="H308" s="46">
        <v>1</v>
      </c>
      <c r="I308" s="46">
        <f t="shared" ref="I308:I309" si="29">B308</f>
        <v>1.7000000000000001E-2</v>
      </c>
      <c r="J308" s="46" t="s">
        <v>31</v>
      </c>
      <c r="K308" s="46" t="s">
        <v>31</v>
      </c>
      <c r="L308" s="46" t="s">
        <v>31</v>
      </c>
      <c r="M308" s="46" t="s">
        <v>31</v>
      </c>
      <c r="N308" s="46"/>
      <c r="O308" s="46"/>
      <c r="P308" s="461">
        <v>1.7000000000000001E-2</v>
      </c>
      <c r="Q308" s="46"/>
      <c r="R308" s="46"/>
      <c r="S308" s="46"/>
      <c r="T308" s="46"/>
      <c r="U308" s="46"/>
    </row>
    <row r="309" spans="1:21">
      <c r="A309" s="46" t="s">
        <v>1128</v>
      </c>
      <c r="B309" s="407">
        <f t="shared" si="28"/>
        <v>1.7000000000000001E-2</v>
      </c>
      <c r="C309" s="46" t="s">
        <v>113</v>
      </c>
      <c r="D309" s="400" t="s">
        <v>2</v>
      </c>
      <c r="E309" s="46" t="s">
        <v>29</v>
      </c>
      <c r="F309" s="46" t="s">
        <v>14</v>
      </c>
      <c r="G309" s="46" t="s">
        <v>33</v>
      </c>
      <c r="H309" s="46">
        <v>1</v>
      </c>
      <c r="I309" s="46">
        <f t="shared" si="29"/>
        <v>1.7000000000000001E-2</v>
      </c>
      <c r="J309" s="46" t="s">
        <v>31</v>
      </c>
      <c r="K309" s="46" t="s">
        <v>31</v>
      </c>
      <c r="L309" s="46" t="s">
        <v>31</v>
      </c>
      <c r="M309" s="46" t="s">
        <v>31</v>
      </c>
      <c r="N309" s="46"/>
      <c r="O309" s="46"/>
      <c r="P309" s="461">
        <v>1.7000000000000001E-2</v>
      </c>
      <c r="Q309" s="46"/>
      <c r="R309" s="46"/>
      <c r="S309" s="46"/>
      <c r="T309" s="46"/>
      <c r="U309" s="46"/>
    </row>
    <row r="310" spans="1:21">
      <c r="A310" s="338" t="s">
        <v>75</v>
      </c>
      <c r="B310" s="342">
        <f t="shared" si="28"/>
        <v>0.22</v>
      </c>
      <c r="C310" s="46" t="s">
        <v>39</v>
      </c>
      <c r="D310" s="46" t="s">
        <v>40</v>
      </c>
      <c r="E310" s="46" t="s">
        <v>29</v>
      </c>
      <c r="F310" s="32" t="s">
        <v>35</v>
      </c>
      <c r="G310" s="46" t="s">
        <v>33</v>
      </c>
      <c r="H310" s="46">
        <v>2</v>
      </c>
      <c r="I310" s="46">
        <f t="shared" ref="I310" si="30">LN(B310)</f>
        <v>-1.5141277326297755</v>
      </c>
      <c r="J310" s="46">
        <v>0.22500000000000006</v>
      </c>
      <c r="K310" s="46" t="s">
        <v>31</v>
      </c>
      <c r="L310" s="46" t="s">
        <v>31</v>
      </c>
      <c r="M310" s="46" t="s">
        <v>31</v>
      </c>
      <c r="N310" s="46"/>
      <c r="O310" s="393" t="s">
        <v>216</v>
      </c>
      <c r="P310" s="406">
        <v>0.22</v>
      </c>
      <c r="Q310" s="46"/>
      <c r="R310" s="46"/>
      <c r="S310" s="46"/>
      <c r="T310" s="46"/>
      <c r="U310" s="46"/>
    </row>
    <row r="311" spans="1:21">
      <c r="A311" s="47" t="s">
        <v>683</v>
      </c>
      <c r="B311" s="407">
        <f t="shared" si="28"/>
        <v>9.9000000000000008E-3</v>
      </c>
      <c r="C311" s="46" t="s">
        <v>37</v>
      </c>
      <c r="D311" s="46" t="s">
        <v>40</v>
      </c>
      <c r="E311" s="46" t="s">
        <v>29</v>
      </c>
      <c r="F311" s="46" t="s">
        <v>35</v>
      </c>
      <c r="G311" s="46" t="s">
        <v>33</v>
      </c>
      <c r="H311" s="46">
        <v>2</v>
      </c>
      <c r="I311" s="46">
        <f>LN(B311)</f>
        <v>-4.6152205218415929</v>
      </c>
      <c r="J311" s="46">
        <v>0.22500000000000006</v>
      </c>
      <c r="K311" s="46" t="s">
        <v>31</v>
      </c>
      <c r="L311" s="46" t="s">
        <v>31</v>
      </c>
      <c r="M311" s="46" t="s">
        <v>31</v>
      </c>
      <c r="N311" s="46"/>
      <c r="O311" s="393" t="s">
        <v>221</v>
      </c>
      <c r="P311" s="444">
        <v>9.9000000000000008E-3</v>
      </c>
      <c r="Q311" s="46"/>
      <c r="R311" s="46"/>
      <c r="S311" s="46"/>
      <c r="T311" s="46"/>
      <c r="U311" s="46"/>
    </row>
    <row r="312" spans="1:21">
      <c r="A312" s="46" t="s">
        <v>952</v>
      </c>
      <c r="B312" s="407">
        <f t="shared" si="28"/>
        <v>2.1499999999999998E-2</v>
      </c>
      <c r="C312" s="46" t="s">
        <v>37</v>
      </c>
      <c r="D312" s="46" t="s">
        <v>40</v>
      </c>
      <c r="E312" s="46" t="s">
        <v>29</v>
      </c>
      <c r="F312" s="46" t="s">
        <v>58</v>
      </c>
      <c r="G312" s="46" t="s">
        <v>33</v>
      </c>
      <c r="H312" s="46">
        <v>2</v>
      </c>
      <c r="I312" s="46">
        <f t="shared" ref="I312:I318" si="31">LN(B312)</f>
        <v>-3.8397023438485198</v>
      </c>
      <c r="J312" s="46">
        <v>0.22500000000000006</v>
      </c>
      <c r="K312" s="46" t="s">
        <v>31</v>
      </c>
      <c r="L312" s="46" t="s">
        <v>31</v>
      </c>
      <c r="M312" s="46" t="s">
        <v>31</v>
      </c>
      <c r="N312" s="46"/>
      <c r="O312" s="393" t="s">
        <v>221</v>
      </c>
      <c r="P312" s="444">
        <v>2.1499999999999998E-2</v>
      </c>
      <c r="Q312" s="46"/>
      <c r="R312" s="46"/>
      <c r="S312" s="46"/>
      <c r="T312" s="46"/>
      <c r="U312" s="46"/>
    </row>
    <row r="313" spans="1:21">
      <c r="A313" s="47" t="s">
        <v>530</v>
      </c>
      <c r="B313" s="407">
        <f t="shared" si="28"/>
        <v>9.9000000000000008E-3</v>
      </c>
      <c r="C313" s="46" t="s">
        <v>37</v>
      </c>
      <c r="D313" s="46" t="s">
        <v>40</v>
      </c>
      <c r="E313" s="46" t="s">
        <v>29</v>
      </c>
      <c r="F313" s="46" t="s">
        <v>35</v>
      </c>
      <c r="G313" s="46" t="s">
        <v>33</v>
      </c>
      <c r="H313" s="46">
        <v>2</v>
      </c>
      <c r="I313" s="46">
        <f t="shared" si="31"/>
        <v>-4.6152205218415929</v>
      </c>
      <c r="J313" s="46">
        <v>0.22500000000000006</v>
      </c>
      <c r="K313" s="46" t="s">
        <v>31</v>
      </c>
      <c r="L313" s="46" t="s">
        <v>31</v>
      </c>
      <c r="M313" s="46" t="s">
        <v>31</v>
      </c>
      <c r="N313" s="46"/>
      <c r="O313" s="393" t="s">
        <v>221</v>
      </c>
      <c r="P313" s="444">
        <v>9.9000000000000008E-3</v>
      </c>
      <c r="Q313" s="46"/>
      <c r="R313" s="46"/>
      <c r="S313" s="46"/>
      <c r="T313" s="46"/>
      <c r="U313" s="46"/>
    </row>
    <row r="314" spans="1:21">
      <c r="A314" s="47" t="s">
        <v>953</v>
      </c>
      <c r="B314" s="407">
        <f t="shared" si="28"/>
        <v>7.4999999999999997E-3</v>
      </c>
      <c r="C314" s="46" t="s">
        <v>37</v>
      </c>
      <c r="D314" s="46" t="s">
        <v>40</v>
      </c>
      <c r="E314" s="46" t="s">
        <v>29</v>
      </c>
      <c r="F314" s="46" t="s">
        <v>58</v>
      </c>
      <c r="G314" s="46" t="s">
        <v>33</v>
      </c>
      <c r="H314" s="46">
        <v>2</v>
      </c>
      <c r="I314" s="46">
        <f t="shared" si="31"/>
        <v>-4.8928522584398726</v>
      </c>
      <c r="J314" s="46">
        <v>0.22500000000000006</v>
      </c>
      <c r="K314" s="46" t="s">
        <v>31</v>
      </c>
      <c r="L314" s="46" t="s">
        <v>31</v>
      </c>
      <c r="M314" s="46" t="s">
        <v>31</v>
      </c>
      <c r="N314" s="46"/>
      <c r="O314" s="393" t="s">
        <v>221</v>
      </c>
      <c r="P314" s="444">
        <v>7.4999999999999997E-3</v>
      </c>
      <c r="Q314" s="46"/>
      <c r="R314" s="46"/>
      <c r="S314" s="46"/>
      <c r="T314" s="46"/>
      <c r="U314" s="46"/>
    </row>
    <row r="315" spans="1:21">
      <c r="A315" s="47" t="s">
        <v>954</v>
      </c>
      <c r="B315" s="407">
        <f t="shared" si="28"/>
        <v>2.1499999999999998E-2</v>
      </c>
      <c r="C315" s="46" t="s">
        <v>37</v>
      </c>
      <c r="D315" s="46" t="s">
        <v>40</v>
      </c>
      <c r="E315" s="46" t="s">
        <v>29</v>
      </c>
      <c r="F315" s="46" t="s">
        <v>58</v>
      </c>
      <c r="G315" s="46" t="s">
        <v>33</v>
      </c>
      <c r="H315" s="46">
        <v>2</v>
      </c>
      <c r="I315" s="46">
        <f t="shared" si="31"/>
        <v>-3.8397023438485198</v>
      </c>
      <c r="J315" s="46">
        <v>0.22500000000000006</v>
      </c>
      <c r="K315" s="46" t="s">
        <v>31</v>
      </c>
      <c r="L315" s="46" t="s">
        <v>31</v>
      </c>
      <c r="M315" s="46" t="s">
        <v>31</v>
      </c>
      <c r="N315" s="46"/>
      <c r="O315" s="393" t="s">
        <v>221</v>
      </c>
      <c r="P315" s="444">
        <v>2.1499999999999998E-2</v>
      </c>
      <c r="Q315" s="46"/>
      <c r="R315" s="46"/>
      <c r="S315" s="46"/>
      <c r="T315" s="46"/>
      <c r="U315" s="46"/>
    </row>
    <row r="316" spans="1:21">
      <c r="A316" s="338" t="s">
        <v>792</v>
      </c>
      <c r="B316" s="407">
        <f t="shared" si="28"/>
        <v>0.39800000000000002</v>
      </c>
      <c r="C316" s="46" t="s">
        <v>37</v>
      </c>
      <c r="D316" s="46" t="s">
        <v>40</v>
      </c>
      <c r="E316" s="46" t="s">
        <v>29</v>
      </c>
      <c r="F316" s="32" t="s">
        <v>741</v>
      </c>
      <c r="G316" s="46" t="s">
        <v>33</v>
      </c>
      <c r="H316" s="46">
        <v>2</v>
      </c>
      <c r="I316" s="46">
        <f t="shared" si="31"/>
        <v>-0.92130327369769927</v>
      </c>
      <c r="J316" s="46">
        <v>0.22500000000000006</v>
      </c>
      <c r="K316" s="46" t="s">
        <v>31</v>
      </c>
      <c r="L316" s="46" t="s">
        <v>31</v>
      </c>
      <c r="M316" s="46" t="s">
        <v>31</v>
      </c>
      <c r="N316" s="46"/>
      <c r="O316" s="393" t="s">
        <v>221</v>
      </c>
      <c r="P316" s="444">
        <v>0.39800000000000002</v>
      </c>
      <c r="Q316" s="46"/>
      <c r="R316" s="46"/>
      <c r="S316" s="46"/>
      <c r="T316" s="46"/>
      <c r="U316" s="46"/>
    </row>
    <row r="317" spans="1:21">
      <c r="A317" s="47" t="s">
        <v>760</v>
      </c>
      <c r="B317" s="407">
        <f t="shared" si="28"/>
        <v>3.8E-3</v>
      </c>
      <c r="C317" s="46" t="s">
        <v>37</v>
      </c>
      <c r="D317" s="46" t="s">
        <v>43</v>
      </c>
      <c r="E317" s="46" t="s">
        <v>44</v>
      </c>
      <c r="F317" s="46" t="s">
        <v>29</v>
      </c>
      <c r="G317" s="46" t="s">
        <v>45</v>
      </c>
      <c r="H317" s="46">
        <v>2</v>
      </c>
      <c r="I317" s="46">
        <f t="shared" si="31"/>
        <v>-5.5727542122497971</v>
      </c>
      <c r="J317" s="46">
        <v>0.22500000000000006</v>
      </c>
      <c r="K317" s="46" t="s">
        <v>31</v>
      </c>
      <c r="L317" s="46" t="s">
        <v>31</v>
      </c>
      <c r="M317" s="46" t="s">
        <v>31</v>
      </c>
      <c r="N317" s="46"/>
      <c r="O317" s="408" t="s">
        <v>221</v>
      </c>
      <c r="P317" s="409">
        <v>3.8E-3</v>
      </c>
      <c r="Q317" s="46"/>
      <c r="R317" s="46"/>
      <c r="S317" s="46"/>
      <c r="T317" s="46"/>
      <c r="U317" s="46"/>
    </row>
    <row r="318" spans="1:21">
      <c r="A318" s="46" t="s">
        <v>777</v>
      </c>
      <c r="B318" s="407">
        <f t="shared" si="28"/>
        <v>7.0999999999999994E-2</v>
      </c>
      <c r="C318" s="46" t="s">
        <v>37</v>
      </c>
      <c r="D318" s="400" t="s">
        <v>2</v>
      </c>
      <c r="E318" s="46" t="s">
        <v>29</v>
      </c>
      <c r="F318" s="32" t="s">
        <v>741</v>
      </c>
      <c r="G318" s="46" t="s">
        <v>33</v>
      </c>
      <c r="H318" s="46">
        <v>2</v>
      </c>
      <c r="I318" s="46">
        <f t="shared" si="31"/>
        <v>-2.6450754019408218</v>
      </c>
      <c r="J318" s="46">
        <v>0.22500000000000006</v>
      </c>
      <c r="K318" s="46" t="s">
        <v>31</v>
      </c>
      <c r="L318" s="46" t="s">
        <v>31</v>
      </c>
      <c r="M318" s="46" t="s">
        <v>31</v>
      </c>
      <c r="N318" s="46"/>
      <c r="O318" s="410" t="s">
        <v>221</v>
      </c>
      <c r="P318" s="445">
        <v>7.0999999999999994E-2</v>
      </c>
      <c r="Q318" s="46"/>
      <c r="R318" s="46"/>
      <c r="S318" s="46"/>
      <c r="T318" s="46"/>
      <c r="U318" s="46"/>
    </row>
    <row r="319" spans="1:21" s="41" customFormat="1">
      <c r="A319" s="362" t="s">
        <v>5</v>
      </c>
      <c r="B319" s="363" t="s">
        <v>1128</v>
      </c>
      <c r="C319" s="345"/>
      <c r="D319" s="345"/>
      <c r="E319" s="345"/>
      <c r="F319" s="345"/>
      <c r="G319" s="345"/>
      <c r="H319" s="345"/>
      <c r="I319" s="345"/>
      <c r="J319" s="345"/>
      <c r="K319" s="345"/>
      <c r="L319" s="345"/>
      <c r="M319" s="345"/>
      <c r="N319" s="345"/>
      <c r="O319" s="345"/>
      <c r="P319" s="345"/>
      <c r="Q319" s="345"/>
      <c r="R319" s="345"/>
      <c r="S319" s="345"/>
      <c r="T319" s="345"/>
      <c r="U319" s="345"/>
    </row>
    <row r="320" spans="1:21">
      <c r="A320" s="338" t="s">
        <v>7</v>
      </c>
      <c r="B320" s="46" t="s">
        <v>779</v>
      </c>
      <c r="C320" s="337"/>
      <c r="D320" s="46"/>
      <c r="E320" s="46"/>
      <c r="F320" s="46"/>
      <c r="G320" s="46"/>
      <c r="H320" s="46"/>
      <c r="I320" s="46"/>
      <c r="J320" s="46"/>
      <c r="K320" s="46"/>
      <c r="L320" s="46"/>
      <c r="M320" s="46"/>
      <c r="N320" s="46"/>
      <c r="O320" s="46"/>
      <c r="P320" s="46"/>
      <c r="Q320" s="46"/>
      <c r="R320" s="46"/>
      <c r="S320" s="46"/>
      <c r="T320" s="46"/>
      <c r="U320" s="46"/>
    </row>
    <row r="321" spans="1:21">
      <c r="A321" s="416" t="s">
        <v>9</v>
      </c>
      <c r="B321" s="46" t="s">
        <v>1129</v>
      </c>
      <c r="C321" s="337"/>
      <c r="D321" s="46"/>
      <c r="E321" s="46"/>
      <c r="F321" s="46"/>
      <c r="G321" s="46"/>
      <c r="H321" s="46"/>
      <c r="I321" s="46"/>
      <c r="J321" s="46"/>
      <c r="K321" s="46"/>
      <c r="L321" s="46"/>
      <c r="M321" s="46"/>
      <c r="N321" s="46"/>
      <c r="O321" s="46"/>
      <c r="P321" s="46"/>
      <c r="Q321" s="46"/>
      <c r="R321" s="46"/>
      <c r="S321" s="46"/>
      <c r="T321" s="46"/>
      <c r="U321" s="46"/>
    </row>
    <row r="322" spans="1:21" ht="15.75" customHeight="1">
      <c r="A322" s="338" t="s">
        <v>11</v>
      </c>
      <c r="B322" s="339" t="s">
        <v>789</v>
      </c>
      <c r="C322" s="46"/>
      <c r="D322" s="46"/>
      <c r="E322" s="46"/>
      <c r="F322" s="46"/>
      <c r="G322" s="46"/>
      <c r="H322" s="46"/>
      <c r="I322" s="46"/>
      <c r="J322" s="46"/>
      <c r="K322" s="46"/>
      <c r="L322" s="46"/>
      <c r="M322" s="46"/>
      <c r="N322" s="46"/>
      <c r="O322" s="46"/>
      <c r="P322" s="46"/>
      <c r="Q322" s="46"/>
      <c r="R322" s="46"/>
      <c r="S322" s="46"/>
      <c r="T322" s="46"/>
      <c r="U322" s="46"/>
    </row>
    <row r="323" spans="1:21">
      <c r="A323" s="338" t="s">
        <v>13</v>
      </c>
      <c r="B323" s="46" t="s">
        <v>14</v>
      </c>
      <c r="C323" s="46"/>
      <c r="D323" s="46"/>
      <c r="E323" s="46"/>
      <c r="F323" s="46"/>
      <c r="G323" s="46"/>
      <c r="H323" s="46"/>
      <c r="I323" s="46"/>
      <c r="J323" s="46"/>
      <c r="K323" s="46"/>
      <c r="L323" s="46"/>
      <c r="M323" s="46"/>
      <c r="N323" s="46"/>
      <c r="O323" s="46"/>
      <c r="P323" s="46"/>
      <c r="Q323" s="46"/>
      <c r="R323" s="46"/>
      <c r="S323" s="46"/>
      <c r="T323" s="46"/>
      <c r="U323" s="46"/>
    </row>
    <row r="324" spans="1:21">
      <c r="A324" s="338" t="s">
        <v>15</v>
      </c>
      <c r="B324" s="407">
        <f>B329</f>
        <v>1.7000000000000001E-2</v>
      </c>
      <c r="C324" s="46"/>
      <c r="D324" s="46"/>
      <c r="E324" s="46"/>
      <c r="F324" s="46"/>
      <c r="G324" s="46"/>
      <c r="H324" s="46"/>
      <c r="I324" s="46"/>
      <c r="J324" s="46"/>
      <c r="K324" s="46"/>
      <c r="L324" s="46"/>
      <c r="M324" s="46"/>
      <c r="N324" s="46"/>
      <c r="O324" s="46"/>
      <c r="P324" s="46"/>
      <c r="Q324" s="46"/>
      <c r="R324" s="46"/>
      <c r="S324" s="46"/>
      <c r="T324" s="46"/>
      <c r="U324" s="46"/>
    </row>
    <row r="325" spans="1:21">
      <c r="A325" s="338" t="s">
        <v>16</v>
      </c>
      <c r="B325" s="46" t="s">
        <v>17</v>
      </c>
      <c r="C325" s="46"/>
      <c r="D325" s="46"/>
      <c r="E325" s="46"/>
      <c r="F325" s="46"/>
      <c r="G325" s="46"/>
      <c r="H325" s="46"/>
      <c r="I325" s="46"/>
      <c r="J325" s="46"/>
      <c r="K325" s="46"/>
      <c r="L325" s="46"/>
      <c r="M325" s="46"/>
      <c r="N325" s="46"/>
      <c r="O325" s="46"/>
      <c r="P325" s="46"/>
      <c r="Q325" s="46"/>
      <c r="R325" s="46"/>
      <c r="S325" s="46"/>
      <c r="T325" s="46"/>
      <c r="U325" s="46"/>
    </row>
    <row r="326" spans="1:21">
      <c r="A326" s="338" t="s">
        <v>18</v>
      </c>
      <c r="B326" s="46" t="s">
        <v>113</v>
      </c>
      <c r="C326" s="46"/>
      <c r="D326" s="46"/>
      <c r="E326" s="46"/>
      <c r="F326" s="46"/>
      <c r="G326" s="46"/>
      <c r="H326" s="46"/>
      <c r="I326" s="46"/>
      <c r="J326" s="46"/>
      <c r="K326" s="46"/>
      <c r="L326" s="46"/>
      <c r="M326" s="46"/>
      <c r="N326" s="46"/>
      <c r="O326" s="46"/>
      <c r="P326" s="46"/>
      <c r="Q326" s="46"/>
      <c r="R326" s="46"/>
      <c r="S326" s="46"/>
      <c r="T326" s="46"/>
      <c r="U326" s="46"/>
    </row>
    <row r="327" spans="1:21">
      <c r="A327" s="335" t="s">
        <v>19</v>
      </c>
      <c r="B327" s="46"/>
      <c r="C327" s="46"/>
      <c r="D327" s="46"/>
      <c r="E327" s="46"/>
      <c r="F327" s="46"/>
      <c r="G327" s="46"/>
      <c r="H327" s="46"/>
      <c r="I327" s="46"/>
      <c r="J327" s="46"/>
      <c r="K327" s="46"/>
      <c r="L327" s="46"/>
      <c r="M327" s="46"/>
      <c r="N327" s="46"/>
      <c r="O327" s="46"/>
      <c r="P327" s="46"/>
      <c r="Q327" s="46"/>
      <c r="R327" s="46"/>
      <c r="S327" s="46"/>
      <c r="T327" s="46"/>
      <c r="U327" s="46"/>
    </row>
    <row r="328" spans="1:21">
      <c r="A328" s="336" t="s">
        <v>20</v>
      </c>
      <c r="B328" s="336" t="s">
        <v>21</v>
      </c>
      <c r="C328" s="336" t="s">
        <v>18</v>
      </c>
      <c r="D328" s="336" t="s">
        <v>22</v>
      </c>
      <c r="E328" s="336" t="s">
        <v>7</v>
      </c>
      <c r="F328" s="336" t="s">
        <v>13</v>
      </c>
      <c r="G328" s="336" t="s">
        <v>16</v>
      </c>
      <c r="H328" s="336" t="s">
        <v>23</v>
      </c>
      <c r="I328" s="336" t="s">
        <v>24</v>
      </c>
      <c r="J328" s="336" t="s">
        <v>25</v>
      </c>
      <c r="K328" s="336" t="s">
        <v>26</v>
      </c>
      <c r="L328" s="336" t="s">
        <v>27</v>
      </c>
      <c r="M328" s="336" t="s">
        <v>28</v>
      </c>
      <c r="N328" s="336" t="s">
        <v>11</v>
      </c>
      <c r="O328" s="46"/>
      <c r="P328" s="46"/>
      <c r="Q328" s="46"/>
      <c r="R328" s="46"/>
      <c r="S328" s="46"/>
      <c r="T328" s="407"/>
      <c r="U328" s="46"/>
    </row>
    <row r="329" spans="1:21">
      <c r="A329" s="46" t="s">
        <v>1128</v>
      </c>
      <c r="B329" s="407">
        <f>P330</f>
        <v>1.7000000000000001E-2</v>
      </c>
      <c r="C329" s="46" t="s">
        <v>113</v>
      </c>
      <c r="D329" s="400" t="s">
        <v>2</v>
      </c>
      <c r="E329" s="46" t="s">
        <v>29</v>
      </c>
      <c r="F329" s="46" t="s">
        <v>14</v>
      </c>
      <c r="G329" s="46" t="s">
        <v>30</v>
      </c>
      <c r="H329" s="46">
        <v>1</v>
      </c>
      <c r="I329" s="46">
        <f t="shared" ref="I329:I331" si="32">B329</f>
        <v>1.7000000000000001E-2</v>
      </c>
      <c r="J329" s="46" t="s">
        <v>31</v>
      </c>
      <c r="K329" s="46" t="s">
        <v>31</v>
      </c>
      <c r="L329" s="46" t="s">
        <v>31</v>
      </c>
      <c r="M329" s="46" t="s">
        <v>31</v>
      </c>
      <c r="N329" s="46"/>
      <c r="O329" s="46"/>
      <c r="P329" s="46"/>
      <c r="Q329" s="46"/>
      <c r="R329" s="46"/>
      <c r="S329" s="46"/>
      <c r="T329" s="46"/>
      <c r="U329" s="46"/>
    </row>
    <row r="330" spans="1:21">
      <c r="A330" s="62" t="s">
        <v>1130</v>
      </c>
      <c r="B330" s="407">
        <f>P330</f>
        <v>1.7000000000000001E-2</v>
      </c>
      <c r="C330" s="46" t="s">
        <v>113</v>
      </c>
      <c r="D330" s="400" t="s">
        <v>2</v>
      </c>
      <c r="E330" s="46" t="s">
        <v>29</v>
      </c>
      <c r="F330" s="46" t="s">
        <v>14</v>
      </c>
      <c r="G330" s="46" t="s">
        <v>33</v>
      </c>
      <c r="H330" s="46">
        <v>1</v>
      </c>
      <c r="I330" s="46">
        <f t="shared" si="32"/>
        <v>1.7000000000000001E-2</v>
      </c>
      <c r="J330" s="46">
        <v>2.8722813232690055E-2</v>
      </c>
      <c r="K330" s="46" t="s">
        <v>31</v>
      </c>
      <c r="L330" s="46" t="s">
        <v>31</v>
      </c>
      <c r="M330" s="46" t="s">
        <v>31</v>
      </c>
      <c r="N330" s="46"/>
      <c r="O330" s="388" t="s">
        <v>817</v>
      </c>
      <c r="P330" s="446">
        <v>1.7000000000000001E-2</v>
      </c>
      <c r="Q330" s="46"/>
      <c r="R330" s="46"/>
      <c r="S330" s="46"/>
      <c r="T330" s="46"/>
      <c r="U330" s="46"/>
    </row>
    <row r="331" spans="1:21">
      <c r="A331" s="62" t="s">
        <v>1072</v>
      </c>
      <c r="B331" s="46">
        <f>R331</f>
        <v>0.17200000000000001</v>
      </c>
      <c r="C331" s="46" t="s">
        <v>221</v>
      </c>
      <c r="D331" s="400" t="s">
        <v>2</v>
      </c>
      <c r="E331" s="46" t="s">
        <v>29</v>
      </c>
      <c r="F331" s="46" t="s">
        <v>14</v>
      </c>
      <c r="G331" s="46" t="s">
        <v>33</v>
      </c>
      <c r="H331" s="46">
        <v>1</v>
      </c>
      <c r="I331" s="46">
        <f t="shared" si="32"/>
        <v>0.17200000000000001</v>
      </c>
      <c r="J331" s="46">
        <v>2.8722813232690055E-2</v>
      </c>
      <c r="K331" s="46" t="s">
        <v>31</v>
      </c>
      <c r="L331" s="46" t="s">
        <v>31</v>
      </c>
      <c r="M331" s="46" t="s">
        <v>31</v>
      </c>
      <c r="N331" s="46"/>
      <c r="O331" s="388" t="s">
        <v>575</v>
      </c>
      <c r="P331" s="447">
        <v>172</v>
      </c>
      <c r="Q331" s="46" t="s">
        <v>221</v>
      </c>
      <c r="R331" s="46">
        <f>P331*0.001</f>
        <v>0.17200000000000001</v>
      </c>
      <c r="S331" s="46"/>
      <c r="T331" s="46"/>
      <c r="U331" s="46"/>
    </row>
    <row r="332" spans="1:21">
      <c r="A332" s="338" t="s">
        <v>75</v>
      </c>
      <c r="B332" s="342">
        <f>P332</f>
        <v>0.02</v>
      </c>
      <c r="C332" s="46" t="s">
        <v>39</v>
      </c>
      <c r="D332" s="46" t="s">
        <v>40</v>
      </c>
      <c r="E332" s="46" t="s">
        <v>29</v>
      </c>
      <c r="F332" s="32" t="s">
        <v>35</v>
      </c>
      <c r="G332" s="46" t="s">
        <v>33</v>
      </c>
      <c r="H332" s="46">
        <v>2</v>
      </c>
      <c r="I332" s="46">
        <f t="shared" ref="I332:I334" si="33">LN(B332)</f>
        <v>-3.912023005428146</v>
      </c>
      <c r="J332" s="46">
        <v>0.20928449536456342</v>
      </c>
      <c r="K332" s="46" t="s">
        <v>31</v>
      </c>
      <c r="L332" s="46" t="s">
        <v>31</v>
      </c>
      <c r="M332" s="46" t="s">
        <v>31</v>
      </c>
      <c r="N332" s="46"/>
      <c r="O332" s="393" t="s">
        <v>216</v>
      </c>
      <c r="P332" s="175">
        <v>0.02</v>
      </c>
      <c r="Q332" s="46"/>
      <c r="R332" s="46"/>
      <c r="S332" s="46"/>
      <c r="T332" s="46"/>
      <c r="U332" s="46"/>
    </row>
    <row r="333" spans="1:21">
      <c r="A333" s="338" t="s">
        <v>75</v>
      </c>
      <c r="B333" s="342">
        <f>P333</f>
        <v>0.98</v>
      </c>
      <c r="C333" s="46" t="s">
        <v>39</v>
      </c>
      <c r="D333" s="46" t="s">
        <v>40</v>
      </c>
      <c r="E333" s="46" t="s">
        <v>29</v>
      </c>
      <c r="F333" s="32" t="s">
        <v>35</v>
      </c>
      <c r="G333" s="46" t="s">
        <v>33</v>
      </c>
      <c r="H333" s="46">
        <v>2</v>
      </c>
      <c r="I333" s="46">
        <f t="shared" si="33"/>
        <v>-2.0202707317519466E-2</v>
      </c>
      <c r="J333" s="46">
        <v>0.20928449536456342</v>
      </c>
      <c r="K333" s="46" t="s">
        <v>31</v>
      </c>
      <c r="L333" s="46" t="s">
        <v>31</v>
      </c>
      <c r="M333" s="46" t="s">
        <v>31</v>
      </c>
      <c r="N333" s="46"/>
      <c r="O333" s="393" t="s">
        <v>216</v>
      </c>
      <c r="P333" s="120">
        <v>0.98</v>
      </c>
      <c r="Q333" s="46"/>
      <c r="R333" s="46"/>
      <c r="S333" s="46"/>
      <c r="T333" s="46"/>
      <c r="U333" s="46"/>
    </row>
    <row r="334" spans="1:21">
      <c r="A334" s="338" t="s">
        <v>75</v>
      </c>
      <c r="B334" s="342">
        <f>P334</f>
        <v>0.25</v>
      </c>
      <c r="C334" s="46" t="s">
        <v>39</v>
      </c>
      <c r="D334" s="46" t="s">
        <v>40</v>
      </c>
      <c r="E334" s="46" t="s">
        <v>29</v>
      </c>
      <c r="F334" s="32" t="s">
        <v>35</v>
      </c>
      <c r="G334" s="46" t="s">
        <v>33</v>
      </c>
      <c r="H334" s="46">
        <v>2</v>
      </c>
      <c r="I334" s="46">
        <f t="shared" si="33"/>
        <v>-1.3862943611198906</v>
      </c>
      <c r="J334" s="46">
        <v>9.6436507609929598E-2</v>
      </c>
      <c r="K334" s="46" t="s">
        <v>31</v>
      </c>
      <c r="L334" s="46" t="s">
        <v>31</v>
      </c>
      <c r="M334" s="46" t="s">
        <v>31</v>
      </c>
      <c r="N334" s="46"/>
      <c r="O334" s="393" t="s">
        <v>216</v>
      </c>
      <c r="P334" s="120">
        <v>0.25</v>
      </c>
      <c r="Q334" s="46"/>
      <c r="R334" s="46"/>
      <c r="S334" s="46"/>
      <c r="T334" s="46"/>
      <c r="U334" s="46"/>
    </row>
    <row r="335" spans="1:21">
      <c r="A335" s="47" t="s">
        <v>683</v>
      </c>
      <c r="B335" s="407">
        <f>R335</f>
        <v>1E-3</v>
      </c>
      <c r="C335" s="46" t="s">
        <v>37</v>
      </c>
      <c r="D335" s="46" t="s">
        <v>40</v>
      </c>
      <c r="E335" s="46" t="s">
        <v>29</v>
      </c>
      <c r="F335" s="46" t="s">
        <v>35</v>
      </c>
      <c r="G335" s="46" t="s">
        <v>33</v>
      </c>
      <c r="H335" s="46">
        <v>2</v>
      </c>
      <c r="I335" s="46">
        <f>LN(B335)</f>
        <v>-6.9077552789821368</v>
      </c>
      <c r="J335" s="46">
        <v>0.20928449536456342</v>
      </c>
      <c r="K335" s="46" t="s">
        <v>31</v>
      </c>
      <c r="L335" s="46" t="s">
        <v>31</v>
      </c>
      <c r="M335" s="46" t="s">
        <v>31</v>
      </c>
      <c r="N335" s="46"/>
      <c r="O335" s="393" t="s">
        <v>575</v>
      </c>
      <c r="P335" s="120">
        <v>1</v>
      </c>
      <c r="Q335" s="46" t="s">
        <v>221</v>
      </c>
      <c r="R335" s="46">
        <f>P335*0.001</f>
        <v>1E-3</v>
      </c>
      <c r="S335" s="46"/>
      <c r="T335" s="46"/>
      <c r="U335" s="46"/>
    </row>
    <row r="336" spans="1:21">
      <c r="A336" s="338" t="s">
        <v>792</v>
      </c>
      <c r="B336" s="407">
        <f>P336</f>
        <v>0.01</v>
      </c>
      <c r="C336" s="46" t="s">
        <v>37</v>
      </c>
      <c r="D336" s="46" t="s">
        <v>40</v>
      </c>
      <c r="E336" s="46" t="s">
        <v>29</v>
      </c>
      <c r="F336" s="32" t="s">
        <v>741</v>
      </c>
      <c r="G336" s="46" t="s">
        <v>33</v>
      </c>
      <c r="H336" s="46">
        <v>2</v>
      </c>
      <c r="I336" s="46">
        <f>LN(B336)</f>
        <v>-4.6051701859880909</v>
      </c>
      <c r="J336" s="46">
        <v>0.20928449536456342</v>
      </c>
      <c r="K336" s="46" t="s">
        <v>31</v>
      </c>
      <c r="L336" s="46" t="s">
        <v>31</v>
      </c>
      <c r="M336" s="46" t="s">
        <v>31</v>
      </c>
      <c r="N336" s="46"/>
      <c r="O336" s="393" t="s">
        <v>221</v>
      </c>
      <c r="P336" s="175">
        <v>0.01</v>
      </c>
      <c r="Q336" s="46"/>
      <c r="R336" s="46"/>
      <c r="S336" s="46"/>
      <c r="T336" s="46"/>
      <c r="U336" s="46"/>
    </row>
    <row r="337" spans="1:21">
      <c r="A337" s="47" t="s">
        <v>542</v>
      </c>
      <c r="B337" s="433">
        <f>R337</f>
        <v>2.5000000000000001E-3</v>
      </c>
      <c r="C337" s="46" t="s">
        <v>37</v>
      </c>
      <c r="D337" s="46" t="s">
        <v>40</v>
      </c>
      <c r="E337" s="46" t="s">
        <v>29</v>
      </c>
      <c r="F337" s="32" t="s">
        <v>128</v>
      </c>
      <c r="G337" s="46" t="s">
        <v>33</v>
      </c>
      <c r="H337" s="46">
        <v>2</v>
      </c>
      <c r="I337" s="46">
        <f>LN(B337)</f>
        <v>-5.9914645471079817</v>
      </c>
      <c r="J337" s="46">
        <v>0.20928449536456342</v>
      </c>
      <c r="K337" s="46" t="s">
        <v>31</v>
      </c>
      <c r="L337" s="46" t="s">
        <v>31</v>
      </c>
      <c r="M337" s="46" t="s">
        <v>31</v>
      </c>
      <c r="N337" s="46"/>
      <c r="O337" s="393" t="s">
        <v>575</v>
      </c>
      <c r="P337" s="120">
        <v>2.5</v>
      </c>
      <c r="Q337" s="46" t="s">
        <v>221</v>
      </c>
      <c r="R337" s="46">
        <f>P337*0.001</f>
        <v>2.5000000000000001E-3</v>
      </c>
      <c r="S337" s="46"/>
      <c r="T337" s="46"/>
      <c r="U337" s="46"/>
    </row>
    <row r="338" spans="1:21">
      <c r="A338" s="47" t="s">
        <v>530</v>
      </c>
      <c r="B338" s="46">
        <f>R338</f>
        <v>4.0000000000000001E-3</v>
      </c>
      <c r="C338" s="46" t="s">
        <v>37</v>
      </c>
      <c r="D338" s="46" t="s">
        <v>40</v>
      </c>
      <c r="E338" s="46" t="s">
        <v>29</v>
      </c>
      <c r="F338" s="46" t="s">
        <v>35</v>
      </c>
      <c r="G338" s="46" t="s">
        <v>33</v>
      </c>
      <c r="H338" s="46">
        <v>2</v>
      </c>
      <c r="I338" s="46">
        <f>LN(B338)</f>
        <v>-5.521460917862246</v>
      </c>
      <c r="J338" s="46">
        <v>0.20928449536456342</v>
      </c>
      <c r="K338" s="46" t="s">
        <v>31</v>
      </c>
      <c r="L338" s="46" t="s">
        <v>31</v>
      </c>
      <c r="M338" s="46" t="s">
        <v>31</v>
      </c>
      <c r="N338" s="46"/>
      <c r="O338" s="393" t="s">
        <v>575</v>
      </c>
      <c r="P338" s="120">
        <v>4</v>
      </c>
      <c r="Q338" s="46" t="s">
        <v>221</v>
      </c>
      <c r="R338" s="46">
        <f>P338*0.001</f>
        <v>4.0000000000000001E-3</v>
      </c>
      <c r="S338" s="46"/>
      <c r="T338" s="46"/>
      <c r="U338" s="46"/>
    </row>
    <row r="339" spans="1:21">
      <c r="A339" s="338" t="s">
        <v>480</v>
      </c>
      <c r="B339" s="46">
        <f>P339</f>
        <v>2.9</v>
      </c>
      <c r="C339" s="46" t="s">
        <v>37</v>
      </c>
      <c r="D339" s="46" t="s">
        <v>40</v>
      </c>
      <c r="E339" s="46" t="s">
        <v>29</v>
      </c>
      <c r="F339" s="32" t="s">
        <v>35</v>
      </c>
      <c r="G339" s="46" t="s">
        <v>33</v>
      </c>
      <c r="H339" s="46">
        <v>2</v>
      </c>
      <c r="I339" s="46">
        <f t="shared" ref="I339:I340" si="34">LN(B339)</f>
        <v>1.0647107369924282</v>
      </c>
      <c r="J339" s="46">
        <v>0.20928449536456342</v>
      </c>
      <c r="K339" s="46" t="s">
        <v>31</v>
      </c>
      <c r="L339" s="46" t="s">
        <v>31</v>
      </c>
      <c r="M339" s="46" t="s">
        <v>31</v>
      </c>
      <c r="N339" s="46"/>
      <c r="O339" s="393" t="s">
        <v>221</v>
      </c>
      <c r="P339" s="120">
        <v>2.9</v>
      </c>
      <c r="Q339" s="46"/>
      <c r="R339" s="46"/>
      <c r="S339" s="46"/>
      <c r="T339" s="46"/>
      <c r="U339" s="46"/>
    </row>
    <row r="340" spans="1:21">
      <c r="A340" s="46" t="s">
        <v>777</v>
      </c>
      <c r="B340" s="407">
        <f>P340</f>
        <v>8.3000000000000001E-3</v>
      </c>
      <c r="C340" s="46" t="s">
        <v>37</v>
      </c>
      <c r="D340" s="400" t="s">
        <v>2</v>
      </c>
      <c r="E340" s="46" t="s">
        <v>29</v>
      </c>
      <c r="F340" s="32" t="s">
        <v>741</v>
      </c>
      <c r="G340" s="46" t="s">
        <v>33</v>
      </c>
      <c r="H340" s="46">
        <v>2</v>
      </c>
      <c r="I340" s="46">
        <f t="shared" si="34"/>
        <v>-4.7914997641795845</v>
      </c>
      <c r="J340" s="46">
        <v>0.20928449536456342</v>
      </c>
      <c r="K340" s="46" t="s">
        <v>31</v>
      </c>
      <c r="L340" s="46" t="s">
        <v>31</v>
      </c>
      <c r="M340" s="46" t="s">
        <v>31</v>
      </c>
      <c r="N340" s="46"/>
      <c r="O340" s="410" t="s">
        <v>221</v>
      </c>
      <c r="P340" s="196">
        <v>8.3000000000000001E-3</v>
      </c>
      <c r="Q340" s="46"/>
      <c r="R340" s="46"/>
      <c r="S340" s="46"/>
      <c r="T340" s="46"/>
      <c r="U340" s="46"/>
    </row>
    <row r="341" spans="1:21" s="41" customFormat="1">
      <c r="A341" s="362" t="s">
        <v>5</v>
      </c>
      <c r="B341" s="363" t="s">
        <v>1130</v>
      </c>
      <c r="C341" s="345"/>
      <c r="D341" s="345"/>
      <c r="E341" s="345"/>
      <c r="F341" s="345"/>
      <c r="G341" s="345"/>
      <c r="H341" s="345"/>
      <c r="I341" s="345"/>
      <c r="J341" s="345"/>
      <c r="K341" s="345"/>
      <c r="L341" s="345"/>
      <c r="M341" s="345"/>
      <c r="N341" s="345"/>
      <c r="O341" s="345"/>
      <c r="P341" s="461"/>
      <c r="Q341" s="345"/>
      <c r="R341" s="345"/>
      <c r="S341" s="345"/>
      <c r="T341" s="345"/>
      <c r="U341" s="345"/>
    </row>
    <row r="342" spans="1:21">
      <c r="A342" s="338" t="s">
        <v>7</v>
      </c>
      <c r="B342" s="46" t="s">
        <v>779</v>
      </c>
      <c r="C342" s="337"/>
      <c r="D342" s="46"/>
      <c r="E342" s="46"/>
      <c r="F342" s="46"/>
      <c r="G342" s="46"/>
      <c r="H342" s="46"/>
      <c r="I342" s="46"/>
      <c r="J342" s="46"/>
      <c r="K342" s="46"/>
      <c r="L342" s="46"/>
      <c r="M342" s="46"/>
      <c r="N342" s="46"/>
      <c r="O342" s="46"/>
      <c r="P342" s="46"/>
      <c r="Q342" s="46"/>
      <c r="R342" s="46"/>
      <c r="S342" s="46"/>
      <c r="T342" s="46"/>
      <c r="U342" s="46"/>
    </row>
    <row r="343" spans="1:21">
      <c r="A343" s="416" t="s">
        <v>9</v>
      </c>
      <c r="B343" s="46" t="s">
        <v>1131</v>
      </c>
      <c r="C343" s="337"/>
      <c r="D343" s="46"/>
      <c r="E343" s="46"/>
      <c r="F343" s="46"/>
      <c r="G343" s="46"/>
      <c r="H343" s="46"/>
      <c r="I343" s="46"/>
      <c r="J343" s="46"/>
      <c r="K343" s="46"/>
      <c r="L343" s="46"/>
      <c r="M343" s="46"/>
      <c r="N343" s="46"/>
      <c r="O343" s="46"/>
      <c r="P343" s="46"/>
      <c r="Q343" s="46"/>
      <c r="R343" s="46"/>
      <c r="S343" s="46"/>
      <c r="T343" s="46"/>
      <c r="U343" s="46"/>
    </row>
    <row r="344" spans="1:21" ht="15.75" customHeight="1">
      <c r="A344" s="338" t="s">
        <v>11</v>
      </c>
      <c r="B344" s="339" t="s">
        <v>789</v>
      </c>
      <c r="C344" s="46"/>
      <c r="D344" s="46"/>
      <c r="E344" s="46"/>
      <c r="F344" s="46"/>
      <c r="G344" s="46"/>
      <c r="H344" s="46"/>
      <c r="I344" s="46"/>
      <c r="J344" s="46"/>
      <c r="K344" s="46"/>
      <c r="L344" s="46"/>
      <c r="M344" s="46"/>
      <c r="N344" s="46"/>
      <c r="O344" s="46"/>
      <c r="P344" s="46"/>
      <c r="Q344" s="46"/>
      <c r="R344" s="46"/>
      <c r="S344" s="46"/>
      <c r="T344" s="46"/>
      <c r="U344" s="46"/>
    </row>
    <row r="345" spans="1:21">
      <c r="A345" s="338" t="s">
        <v>13</v>
      </c>
      <c r="B345" s="46" t="s">
        <v>14</v>
      </c>
      <c r="C345" s="46"/>
      <c r="D345" s="46"/>
      <c r="E345" s="46"/>
      <c r="F345" s="46"/>
      <c r="G345" s="46"/>
      <c r="H345" s="46"/>
      <c r="I345" s="46"/>
      <c r="J345" s="46"/>
      <c r="K345" s="46"/>
      <c r="L345" s="46"/>
      <c r="M345" s="46"/>
      <c r="N345" s="46"/>
      <c r="O345" s="46"/>
      <c r="P345" s="46"/>
      <c r="Q345" s="46"/>
      <c r="R345" s="46"/>
      <c r="S345" s="46"/>
      <c r="T345" s="46"/>
      <c r="U345" s="46"/>
    </row>
    <row r="346" spans="1:21">
      <c r="A346" s="338" t="s">
        <v>15</v>
      </c>
      <c r="B346" s="407">
        <f>B351</f>
        <v>1.7000000000000001E-2</v>
      </c>
      <c r="C346" s="46"/>
      <c r="D346" s="46"/>
      <c r="E346" s="46"/>
      <c r="F346" s="46"/>
      <c r="G346" s="46"/>
      <c r="H346" s="46"/>
      <c r="I346" s="46"/>
      <c r="J346" s="46"/>
      <c r="K346" s="46"/>
      <c r="L346" s="46"/>
      <c r="M346" s="46"/>
      <c r="N346" s="46"/>
      <c r="O346" s="46"/>
      <c r="P346" s="46"/>
      <c r="Q346" s="46"/>
      <c r="R346" s="46"/>
      <c r="S346" s="46"/>
      <c r="T346" s="46"/>
      <c r="U346" s="46"/>
    </row>
    <row r="347" spans="1:21">
      <c r="A347" s="338" t="s">
        <v>16</v>
      </c>
      <c r="B347" s="46" t="s">
        <v>17</v>
      </c>
      <c r="C347" s="46"/>
      <c r="D347" s="46"/>
      <c r="E347" s="46"/>
      <c r="F347" s="46"/>
      <c r="G347" s="46"/>
      <c r="H347" s="46"/>
      <c r="I347" s="46"/>
      <c r="J347" s="46"/>
      <c r="K347" s="46"/>
      <c r="L347" s="46"/>
      <c r="M347" s="46"/>
      <c r="N347" s="46"/>
      <c r="O347" s="46"/>
      <c r="P347" s="46"/>
      <c r="Q347" s="46"/>
      <c r="R347" s="46"/>
      <c r="S347" s="46"/>
      <c r="T347" s="46"/>
      <c r="U347" s="46"/>
    </row>
    <row r="348" spans="1:21">
      <c r="A348" s="338" t="s">
        <v>18</v>
      </c>
      <c r="B348" s="46" t="s">
        <v>113</v>
      </c>
      <c r="C348" s="46"/>
      <c r="D348" s="46"/>
      <c r="E348" s="46"/>
      <c r="F348" s="46"/>
      <c r="G348" s="46"/>
      <c r="H348" s="46"/>
      <c r="I348" s="46"/>
      <c r="J348" s="46"/>
      <c r="K348" s="46"/>
      <c r="L348" s="46"/>
      <c r="M348" s="46"/>
      <c r="N348" s="46"/>
      <c r="O348" s="46"/>
      <c r="P348" s="46"/>
      <c r="Q348" s="46"/>
      <c r="R348" s="46"/>
      <c r="S348" s="46"/>
      <c r="T348" s="46"/>
      <c r="U348" s="46"/>
    </row>
    <row r="349" spans="1:21">
      <c r="A349" s="335" t="s">
        <v>19</v>
      </c>
      <c r="B349" s="46"/>
      <c r="C349" s="46"/>
      <c r="D349" s="46"/>
      <c r="E349" s="46"/>
      <c r="F349" s="46"/>
      <c r="G349" s="46"/>
      <c r="H349" s="46"/>
      <c r="I349" s="46"/>
      <c r="J349" s="46"/>
      <c r="K349" s="46"/>
      <c r="L349" s="46"/>
      <c r="M349" s="46"/>
      <c r="N349" s="46"/>
      <c r="O349" s="46"/>
      <c r="P349" s="46"/>
      <c r="Q349" s="46"/>
      <c r="R349" s="46"/>
      <c r="S349" s="46"/>
      <c r="T349" s="46"/>
      <c r="U349" s="46"/>
    </row>
    <row r="350" spans="1:21">
      <c r="A350" s="336" t="s">
        <v>20</v>
      </c>
      <c r="B350" s="336" t="s">
        <v>21</v>
      </c>
      <c r="C350" s="336" t="s">
        <v>18</v>
      </c>
      <c r="D350" s="336" t="s">
        <v>22</v>
      </c>
      <c r="E350" s="336" t="s">
        <v>7</v>
      </c>
      <c r="F350" s="336" t="s">
        <v>13</v>
      </c>
      <c r="G350" s="336" t="s">
        <v>16</v>
      </c>
      <c r="H350" s="336" t="s">
        <v>23</v>
      </c>
      <c r="I350" s="336" t="s">
        <v>24</v>
      </c>
      <c r="J350" s="336" t="s">
        <v>25</v>
      </c>
      <c r="K350" s="336" t="s">
        <v>26</v>
      </c>
      <c r="L350" s="336" t="s">
        <v>27</v>
      </c>
      <c r="M350" s="336" t="s">
        <v>28</v>
      </c>
      <c r="N350" s="336" t="s">
        <v>11</v>
      </c>
      <c r="O350" s="46"/>
      <c r="P350" s="46"/>
      <c r="Q350" s="46"/>
      <c r="R350" s="46"/>
      <c r="S350" s="46"/>
      <c r="T350" s="407"/>
      <c r="U350" s="46"/>
    </row>
    <row r="351" spans="1:21">
      <c r="A351" s="62" t="s">
        <v>1130</v>
      </c>
      <c r="B351" s="407">
        <f>P351</f>
        <v>1.7000000000000001E-2</v>
      </c>
      <c r="C351" s="46" t="s">
        <v>113</v>
      </c>
      <c r="D351" s="400" t="s">
        <v>2</v>
      </c>
      <c r="E351" s="46" t="s">
        <v>29</v>
      </c>
      <c r="F351" s="46" t="s">
        <v>14</v>
      </c>
      <c r="G351" s="46" t="s">
        <v>30</v>
      </c>
      <c r="H351" s="46">
        <v>1</v>
      </c>
      <c r="I351" s="46">
        <f>B351</f>
        <v>1.7000000000000001E-2</v>
      </c>
      <c r="J351" s="46" t="s">
        <v>31</v>
      </c>
      <c r="K351" s="46" t="s">
        <v>31</v>
      </c>
      <c r="L351" s="46" t="s">
        <v>31</v>
      </c>
      <c r="M351" s="46" t="s">
        <v>31</v>
      </c>
      <c r="N351" s="46"/>
      <c r="O351" s="388" t="s">
        <v>817</v>
      </c>
      <c r="P351" s="184">
        <v>1.7000000000000001E-2</v>
      </c>
      <c r="Q351" s="46"/>
      <c r="R351" s="46"/>
      <c r="S351" s="46"/>
      <c r="T351" s="46"/>
      <c r="U351" s="46"/>
    </row>
    <row r="352" spans="1:21">
      <c r="A352" s="47" t="s">
        <v>842</v>
      </c>
      <c r="B352" s="46">
        <f>P352</f>
        <v>0.03</v>
      </c>
      <c r="C352" s="46" t="s">
        <v>37</v>
      </c>
      <c r="D352" s="46" t="s">
        <v>40</v>
      </c>
      <c r="E352" s="46" t="s">
        <v>29</v>
      </c>
      <c r="F352" s="46" t="s">
        <v>128</v>
      </c>
      <c r="G352" s="46" t="s">
        <v>33</v>
      </c>
      <c r="H352" s="46">
        <v>2</v>
      </c>
      <c r="I352" s="46">
        <f t="shared" ref="I352:I362" si="35">LN(B352)</f>
        <v>-3.5065578973199818</v>
      </c>
      <c r="J352" s="456">
        <v>0.22516660498395411</v>
      </c>
      <c r="K352" s="46" t="s">
        <v>31</v>
      </c>
      <c r="L352" s="46" t="s">
        <v>31</v>
      </c>
      <c r="M352" s="46" t="s">
        <v>31</v>
      </c>
      <c r="N352" s="46"/>
      <c r="O352" s="393" t="s">
        <v>221</v>
      </c>
      <c r="P352" s="120">
        <v>0.03</v>
      </c>
      <c r="Q352" s="46"/>
      <c r="R352" s="46"/>
      <c r="S352" s="46"/>
      <c r="T352" s="46"/>
      <c r="U352" s="46"/>
    </row>
    <row r="353" spans="1:21">
      <c r="A353" s="338" t="s">
        <v>75</v>
      </c>
      <c r="B353" s="342">
        <f>P353</f>
        <v>0.35</v>
      </c>
      <c r="C353" s="46" t="s">
        <v>39</v>
      </c>
      <c r="D353" s="46" t="s">
        <v>40</v>
      </c>
      <c r="E353" s="46" t="s">
        <v>29</v>
      </c>
      <c r="F353" s="32" t="s">
        <v>35</v>
      </c>
      <c r="G353" s="46" t="s">
        <v>33</v>
      </c>
      <c r="H353" s="46">
        <v>2</v>
      </c>
      <c r="I353" s="46">
        <f t="shared" si="35"/>
        <v>-1.0498221244986778</v>
      </c>
      <c r="J353" s="456">
        <v>0.22516660498395411</v>
      </c>
      <c r="K353" s="46" t="s">
        <v>31</v>
      </c>
      <c r="L353" s="46" t="s">
        <v>31</v>
      </c>
      <c r="M353" s="46" t="s">
        <v>31</v>
      </c>
      <c r="N353" s="46"/>
      <c r="O353" s="393" t="s">
        <v>216</v>
      </c>
      <c r="P353" s="120">
        <v>0.35</v>
      </c>
      <c r="Q353" s="46"/>
      <c r="R353" s="46"/>
      <c r="S353" s="46"/>
      <c r="T353" s="46"/>
      <c r="U353" s="46"/>
    </row>
    <row r="354" spans="1:21">
      <c r="A354" s="47" t="s">
        <v>958</v>
      </c>
      <c r="B354" s="407">
        <f>R354</f>
        <v>5.8E-4</v>
      </c>
      <c r="C354" s="46" t="s">
        <v>37</v>
      </c>
      <c r="D354" s="46" t="s">
        <v>40</v>
      </c>
      <c r="E354" s="46" t="s">
        <v>29</v>
      </c>
      <c r="F354" s="46" t="s">
        <v>35</v>
      </c>
      <c r="G354" s="46" t="s">
        <v>33</v>
      </c>
      <c r="H354" s="46">
        <v>2</v>
      </c>
      <c r="I354" s="46">
        <f t="shared" si="35"/>
        <v>-7.4524824544238095</v>
      </c>
      <c r="J354" s="456">
        <v>0.22516660498395411</v>
      </c>
      <c r="K354" s="46" t="s">
        <v>31</v>
      </c>
      <c r="L354" s="46" t="s">
        <v>31</v>
      </c>
      <c r="M354" s="46" t="s">
        <v>31</v>
      </c>
      <c r="N354" s="46"/>
      <c r="O354" s="393" t="s">
        <v>575</v>
      </c>
      <c r="P354" s="175">
        <v>0.57999999999999996</v>
      </c>
      <c r="Q354" s="46" t="s">
        <v>221</v>
      </c>
      <c r="R354" s="407">
        <f>0.001*P354</f>
        <v>5.8E-4</v>
      </c>
      <c r="S354" s="46"/>
      <c r="T354" s="46"/>
      <c r="U354" s="46"/>
    </row>
    <row r="355" spans="1:21">
      <c r="A355" s="47" t="s">
        <v>959</v>
      </c>
      <c r="B355" s="407">
        <f>P355</f>
        <v>2.8E-3</v>
      </c>
      <c r="C355" s="46" t="s">
        <v>37</v>
      </c>
      <c r="D355" s="46" t="s">
        <v>40</v>
      </c>
      <c r="E355" s="46" t="s">
        <v>29</v>
      </c>
      <c r="F355" s="46" t="s">
        <v>35</v>
      </c>
      <c r="G355" s="46" t="s">
        <v>33</v>
      </c>
      <c r="H355" s="46">
        <v>2</v>
      </c>
      <c r="I355" s="46">
        <f t="shared" si="35"/>
        <v>-5.8781358618009785</v>
      </c>
      <c r="J355" s="456">
        <v>0.22516660498395411</v>
      </c>
      <c r="K355" s="46" t="s">
        <v>31</v>
      </c>
      <c r="L355" s="46" t="s">
        <v>31</v>
      </c>
      <c r="M355" s="46" t="s">
        <v>31</v>
      </c>
      <c r="N355" s="46"/>
      <c r="O355" s="393" t="s">
        <v>221</v>
      </c>
      <c r="P355" s="175">
        <v>2.8E-3</v>
      </c>
      <c r="Q355" s="46"/>
      <c r="R355" s="46"/>
      <c r="S355" s="46"/>
      <c r="T355" s="46"/>
      <c r="U355" s="46"/>
    </row>
    <row r="356" spans="1:21">
      <c r="A356" s="47" t="s">
        <v>960</v>
      </c>
      <c r="B356" s="407">
        <f>P356</f>
        <v>2.3E-3</v>
      </c>
      <c r="C356" s="46" t="s">
        <v>37</v>
      </c>
      <c r="D356" s="46" t="s">
        <v>40</v>
      </c>
      <c r="E356" s="46" t="s">
        <v>29</v>
      </c>
      <c r="F356" s="46" t="s">
        <v>35</v>
      </c>
      <c r="G356" s="46" t="s">
        <v>33</v>
      </c>
      <c r="H356" s="46">
        <v>2</v>
      </c>
      <c r="I356" s="46">
        <f t="shared" si="35"/>
        <v>-6.074846156047033</v>
      </c>
      <c r="J356" s="456">
        <v>0.22516660498395411</v>
      </c>
      <c r="K356" s="46" t="s">
        <v>31</v>
      </c>
      <c r="L356" s="46" t="s">
        <v>31</v>
      </c>
      <c r="M356" s="46" t="s">
        <v>31</v>
      </c>
      <c r="N356" s="46"/>
      <c r="O356" s="393" t="s">
        <v>221</v>
      </c>
      <c r="P356" s="175">
        <v>2.3E-3</v>
      </c>
      <c r="Q356" s="46"/>
      <c r="R356" s="46"/>
      <c r="S356" s="46"/>
      <c r="T356" s="46"/>
      <c r="U356" s="46"/>
    </row>
    <row r="357" spans="1:21">
      <c r="A357" s="47" t="s">
        <v>961</v>
      </c>
      <c r="B357" s="407">
        <f>P357</f>
        <v>0.02</v>
      </c>
      <c r="C357" s="46" t="s">
        <v>37</v>
      </c>
      <c r="D357" s="46" t="s">
        <v>40</v>
      </c>
      <c r="E357" s="46" t="s">
        <v>29</v>
      </c>
      <c r="F357" s="46" t="s">
        <v>35</v>
      </c>
      <c r="G357" s="46" t="s">
        <v>33</v>
      </c>
      <c r="H357" s="46">
        <v>2</v>
      </c>
      <c r="I357" s="46">
        <f t="shared" si="35"/>
        <v>-3.912023005428146</v>
      </c>
      <c r="J357" s="456">
        <v>0.22516660498395411</v>
      </c>
      <c r="K357" s="46" t="s">
        <v>31</v>
      </c>
      <c r="L357" s="46" t="s">
        <v>31</v>
      </c>
      <c r="M357" s="46" t="s">
        <v>31</v>
      </c>
      <c r="N357" s="46"/>
      <c r="O357" s="393" t="s">
        <v>221</v>
      </c>
      <c r="P357" s="120">
        <v>0.02</v>
      </c>
      <c r="Q357" s="46"/>
      <c r="R357" s="46"/>
      <c r="S357" s="46"/>
      <c r="T357" s="46"/>
      <c r="U357" s="46"/>
    </row>
    <row r="358" spans="1:21">
      <c r="A358" s="47" t="s">
        <v>962</v>
      </c>
      <c r="B358" s="407">
        <f>R358</f>
        <v>1.2E-4</v>
      </c>
      <c r="C358" s="46" t="s">
        <v>37</v>
      </c>
      <c r="D358" s="46" t="s">
        <v>43</v>
      </c>
      <c r="E358" s="46" t="s">
        <v>44</v>
      </c>
      <c r="F358" s="46" t="s">
        <v>29</v>
      </c>
      <c r="G358" s="46" t="s">
        <v>45</v>
      </c>
      <c r="H358" s="46">
        <v>2</v>
      </c>
      <c r="I358" s="46">
        <f t="shared" si="35"/>
        <v>-9.0280188151822287</v>
      </c>
      <c r="J358" s="456">
        <v>0.10344080432788608</v>
      </c>
      <c r="K358" s="46" t="s">
        <v>31</v>
      </c>
      <c r="L358" s="46" t="s">
        <v>31</v>
      </c>
      <c r="M358" s="46" t="s">
        <v>31</v>
      </c>
      <c r="N358" s="46"/>
      <c r="O358" s="408" t="s">
        <v>575</v>
      </c>
      <c r="P358" s="153">
        <v>0.12</v>
      </c>
      <c r="Q358" s="46" t="s">
        <v>221</v>
      </c>
      <c r="R358" s="407">
        <f>0.001*P358</f>
        <v>1.2E-4</v>
      </c>
      <c r="S358" s="46"/>
      <c r="T358" s="46"/>
      <c r="U358" s="46"/>
    </row>
    <row r="359" spans="1:21">
      <c r="A359" s="47" t="s">
        <v>229</v>
      </c>
      <c r="B359" s="407">
        <f t="shared" ref="B359:B361" si="36">R359</f>
        <v>1E-3</v>
      </c>
      <c r="C359" s="46" t="s">
        <v>37</v>
      </c>
      <c r="D359" s="46" t="s">
        <v>43</v>
      </c>
      <c r="E359" s="46" t="s">
        <v>44</v>
      </c>
      <c r="F359" s="46" t="s">
        <v>29</v>
      </c>
      <c r="G359" s="46" t="s">
        <v>45</v>
      </c>
      <c r="H359" s="46">
        <v>2</v>
      </c>
      <c r="I359" s="46">
        <f t="shared" si="35"/>
        <v>-6.9077552789821368</v>
      </c>
      <c r="J359" s="456">
        <v>0.10344080432788608</v>
      </c>
      <c r="K359" s="46" t="s">
        <v>31</v>
      </c>
      <c r="L359" s="46" t="s">
        <v>31</v>
      </c>
      <c r="M359" s="46" t="s">
        <v>31</v>
      </c>
      <c r="N359" s="46"/>
      <c r="O359" s="408" t="s">
        <v>575</v>
      </c>
      <c r="P359" s="153">
        <v>1</v>
      </c>
      <c r="Q359" s="46" t="s">
        <v>221</v>
      </c>
      <c r="R359" s="407">
        <f>0.001*P359</f>
        <v>1E-3</v>
      </c>
      <c r="S359" s="46"/>
      <c r="T359" s="46"/>
      <c r="U359" s="46"/>
    </row>
    <row r="360" spans="1:21">
      <c r="A360" s="47" t="s">
        <v>963</v>
      </c>
      <c r="B360" s="407">
        <f t="shared" si="36"/>
        <v>8.1000000000000006E-4</v>
      </c>
      <c r="C360" s="46" t="s">
        <v>37</v>
      </c>
      <c r="D360" s="46" t="s">
        <v>43</v>
      </c>
      <c r="E360" s="46" t="s">
        <v>44</v>
      </c>
      <c r="F360" s="46" t="s">
        <v>29</v>
      </c>
      <c r="G360" s="46" t="s">
        <v>45</v>
      </c>
      <c r="H360" s="46">
        <v>2</v>
      </c>
      <c r="I360" s="46">
        <f t="shared" si="35"/>
        <v>-7.1184763102977895</v>
      </c>
      <c r="J360" s="456">
        <v>0.10344080432788608</v>
      </c>
      <c r="K360" s="46" t="s">
        <v>31</v>
      </c>
      <c r="L360" s="46" t="s">
        <v>31</v>
      </c>
      <c r="M360" s="46" t="s">
        <v>31</v>
      </c>
      <c r="N360" s="46"/>
      <c r="O360" s="408" t="s">
        <v>575</v>
      </c>
      <c r="P360" s="153">
        <v>0.81</v>
      </c>
      <c r="Q360" s="46" t="s">
        <v>221</v>
      </c>
      <c r="R360" s="407">
        <f>0.001*P360</f>
        <v>8.1000000000000006E-4</v>
      </c>
      <c r="S360" s="46"/>
      <c r="T360" s="46"/>
      <c r="U360" s="46"/>
    </row>
    <row r="361" spans="1:21">
      <c r="A361" s="47" t="s">
        <v>760</v>
      </c>
      <c r="B361" s="407">
        <f t="shared" si="36"/>
        <v>4.6000000000000001E-4</v>
      </c>
      <c r="C361" s="46" t="s">
        <v>37</v>
      </c>
      <c r="D361" s="46" t="s">
        <v>43</v>
      </c>
      <c r="E361" s="46" t="s">
        <v>44</v>
      </c>
      <c r="F361" s="46" t="s">
        <v>29</v>
      </c>
      <c r="G361" s="46" t="s">
        <v>45</v>
      </c>
      <c r="H361" s="46">
        <v>2</v>
      </c>
      <c r="I361" s="46">
        <f t="shared" si="35"/>
        <v>-7.6842840684811335</v>
      </c>
      <c r="J361" s="456">
        <v>0.10344080432788608</v>
      </c>
      <c r="K361" s="46" t="s">
        <v>31</v>
      </c>
      <c r="L361" s="46" t="s">
        <v>31</v>
      </c>
      <c r="M361" s="46" t="s">
        <v>31</v>
      </c>
      <c r="N361" s="46"/>
      <c r="O361" s="408" t="s">
        <v>575</v>
      </c>
      <c r="P361" s="153">
        <v>0.46</v>
      </c>
      <c r="Q361" s="46" t="s">
        <v>221</v>
      </c>
      <c r="R361" s="407">
        <f>0.001*P361</f>
        <v>4.6000000000000001E-4</v>
      </c>
      <c r="S361" s="46"/>
      <c r="T361" s="46"/>
      <c r="U361" s="46"/>
    </row>
    <row r="362" spans="1:21">
      <c r="A362" s="46" t="s">
        <v>783</v>
      </c>
      <c r="B362" s="407">
        <f>P362</f>
        <v>6.3E-3</v>
      </c>
      <c r="C362" s="46" t="s">
        <v>37</v>
      </c>
      <c r="D362" s="400" t="s">
        <v>2</v>
      </c>
      <c r="E362" s="46" t="s">
        <v>29</v>
      </c>
      <c r="F362" s="32" t="s">
        <v>741</v>
      </c>
      <c r="G362" s="46" t="s">
        <v>33</v>
      </c>
      <c r="H362" s="46">
        <v>2</v>
      </c>
      <c r="I362" s="46">
        <f t="shared" si="35"/>
        <v>-5.0672056455846501</v>
      </c>
      <c r="J362" s="46">
        <v>0.11269427669584645</v>
      </c>
      <c r="K362" s="46" t="s">
        <v>31</v>
      </c>
      <c r="L362" s="46" t="s">
        <v>31</v>
      </c>
      <c r="M362" s="46" t="s">
        <v>31</v>
      </c>
      <c r="N362" s="46"/>
      <c r="O362" s="410" t="s">
        <v>221</v>
      </c>
      <c r="P362" s="196">
        <v>6.3E-3</v>
      </c>
      <c r="Q362" s="46"/>
      <c r="R362" s="46"/>
      <c r="S362" s="46"/>
      <c r="T362" s="46"/>
      <c r="U362" s="46"/>
    </row>
    <row r="363" spans="1:21">
      <c r="P363" s="184"/>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21E94-409B-4646-A75B-47D9CA50A76C}">
  <sheetPr>
    <tabColor rgb="FFFFFF00"/>
  </sheetPr>
  <dimension ref="A1:AC57"/>
  <sheetViews>
    <sheetView topLeftCell="B1" workbookViewId="0">
      <selection activeCell="I13" sqref="I13:I30"/>
    </sheetView>
  </sheetViews>
  <sheetFormatPr defaultRowHeight="12.75"/>
  <cols>
    <col min="1" max="1" width="100.5703125" style="46" customWidth="1"/>
    <col min="2" max="2" width="62" style="46" bestFit="1" customWidth="1"/>
    <col min="3" max="3" width="13.28515625" style="46" bestFit="1" customWidth="1"/>
    <col min="4" max="4" width="37.140625" style="46" bestFit="1" customWidth="1"/>
    <col min="5" max="5" width="11" style="46" bestFit="1" customWidth="1"/>
    <col min="6" max="6" width="23.85546875" style="46" bestFit="1" customWidth="1"/>
    <col min="7" max="7" width="13.42578125" style="46" bestFit="1" customWidth="1"/>
    <col min="8" max="8" width="17.7109375" style="46" bestFit="1" customWidth="1"/>
    <col min="9" max="9" width="7" style="46" bestFit="1" customWidth="1"/>
    <col min="10" max="10" width="12" style="46" bestFit="1" customWidth="1"/>
    <col min="11" max="13" width="10.85546875" style="46" bestFit="1" customWidth="1"/>
    <col min="14" max="23" width="9.140625" style="46"/>
    <col min="24" max="24" width="0" style="46" hidden="1" customWidth="1"/>
    <col min="25" max="16384" width="9.140625" style="46"/>
  </cols>
  <sheetData>
    <row r="1" spans="1:26">
      <c r="A1" s="46" t="s">
        <v>0</v>
      </c>
      <c r="B1" s="46">
        <v>13</v>
      </c>
      <c r="N1" s="46" t="str">
        <f ca="1">UPPER(CONCATENATE(DEC2HEX(RANDBETWEEN(0,POWER(16,8)),8),DEC2HEX(RANDBETWEEN(0,POWER(16,4)),4),"4",DEC2HEX(RANDBETWEEN(0,POWER(16,3)),3),DEC2HEX(RANDBETWEEN(8,11)),DEC2HEX(RANDBETWEEN(0,POWER(16,3)),3),DEC2HEX(RANDBETWEEN(0,POWER(16,8)),8),DEC2HEX(RANDBETWEEN(0,POWER(16,4)),4)))</f>
        <v>1192A243418F4BB7BC9BC2A459BFB98A</v>
      </c>
    </row>
    <row r="2" spans="1:26">
      <c r="A2" s="362" t="s">
        <v>5</v>
      </c>
      <c r="B2" s="363" t="s">
        <v>773</v>
      </c>
      <c r="C2" s="364"/>
      <c r="D2" s="345"/>
      <c r="E2" s="345"/>
      <c r="F2" s="345"/>
      <c r="G2" s="345"/>
      <c r="H2" s="345"/>
      <c r="I2" s="345"/>
      <c r="J2" s="345"/>
      <c r="K2" s="345"/>
      <c r="L2" s="345"/>
      <c r="M2" s="345"/>
    </row>
    <row r="3" spans="1:26">
      <c r="A3" s="338" t="s">
        <v>7</v>
      </c>
      <c r="B3" s="46" t="s">
        <v>779</v>
      </c>
      <c r="C3" s="337"/>
    </row>
    <row r="4" spans="1:26">
      <c r="A4" s="338" t="s">
        <v>9</v>
      </c>
      <c r="B4" s="46" t="s">
        <v>1132</v>
      </c>
      <c r="C4" s="337"/>
    </row>
    <row r="5" spans="1:26" ht="25.5">
      <c r="A5" s="338" t="s">
        <v>11</v>
      </c>
      <c r="B5" s="339" t="s">
        <v>828</v>
      </c>
    </row>
    <row r="6" spans="1:26">
      <c r="A6" s="338" t="s">
        <v>13</v>
      </c>
      <c r="B6" s="46" t="s">
        <v>14</v>
      </c>
    </row>
    <row r="7" spans="1:26">
      <c r="A7" s="338" t="s">
        <v>15</v>
      </c>
      <c r="B7" s="46">
        <v>1</v>
      </c>
    </row>
    <row r="8" spans="1:26">
      <c r="A8" s="338" t="s">
        <v>16</v>
      </c>
      <c r="B8" s="46" t="s">
        <v>17</v>
      </c>
    </row>
    <row r="9" spans="1:26">
      <c r="A9" s="338" t="s">
        <v>18</v>
      </c>
      <c r="B9" s="46" t="s">
        <v>18</v>
      </c>
    </row>
    <row r="10" spans="1:26">
      <c r="A10" s="335" t="s">
        <v>19</v>
      </c>
    </row>
    <row r="11" spans="1:26">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row>
    <row r="12" spans="1:26">
      <c r="A12" s="363" t="s">
        <v>773</v>
      </c>
      <c r="B12" s="46">
        <v>1</v>
      </c>
      <c r="C12" s="46" t="s">
        <v>18</v>
      </c>
      <c r="D12" s="46" t="s">
        <v>2</v>
      </c>
      <c r="E12" s="46" t="s">
        <v>29</v>
      </c>
      <c r="F12" s="32" t="s">
        <v>14</v>
      </c>
      <c r="G12" s="46" t="s">
        <v>30</v>
      </c>
      <c r="H12" s="46">
        <v>1</v>
      </c>
      <c r="I12" s="46">
        <v>1</v>
      </c>
      <c r="J12" s="46" t="s">
        <v>31</v>
      </c>
      <c r="K12" s="46" t="s">
        <v>31</v>
      </c>
      <c r="L12" s="46" t="s">
        <v>31</v>
      </c>
      <c r="M12" s="46" t="s">
        <v>31</v>
      </c>
    </row>
    <row r="13" spans="1:26">
      <c r="A13" s="387" t="s">
        <v>787</v>
      </c>
      <c r="B13" s="46">
        <f>Z13</f>
        <v>7.8E-2</v>
      </c>
      <c r="C13" s="46" t="s">
        <v>37</v>
      </c>
      <c r="D13" s="46" t="s">
        <v>2</v>
      </c>
      <c r="E13" s="46" t="s">
        <v>29</v>
      </c>
      <c r="F13" s="32" t="s">
        <v>14</v>
      </c>
      <c r="G13" s="46" t="s">
        <v>33</v>
      </c>
      <c r="H13" s="46">
        <v>1</v>
      </c>
      <c r="I13" s="46">
        <f>B13</f>
        <v>7.8E-2</v>
      </c>
      <c r="J13" s="46" t="s">
        <v>31</v>
      </c>
      <c r="K13" s="46" t="s">
        <v>31</v>
      </c>
      <c r="L13" s="46" t="s">
        <v>31</v>
      </c>
      <c r="M13" s="46" t="s">
        <v>31</v>
      </c>
      <c r="U13" s="388" t="s">
        <v>965</v>
      </c>
      <c r="V13" s="388" t="s">
        <v>575</v>
      </c>
      <c r="W13" s="389">
        <v>78</v>
      </c>
      <c r="Y13" s="46" t="s">
        <v>221</v>
      </c>
      <c r="Z13" s="46">
        <f>0.001*W13</f>
        <v>7.8E-2</v>
      </c>
    </row>
    <row r="14" spans="1:26">
      <c r="A14" s="387" t="s">
        <v>813</v>
      </c>
      <c r="B14" s="46">
        <f t="shared" ref="B14:B27" si="0">Z14</f>
        <v>9.8000000000000004E-2</v>
      </c>
      <c r="C14" s="46" t="s">
        <v>37</v>
      </c>
      <c r="D14" s="46" t="s">
        <v>2</v>
      </c>
      <c r="E14" s="46" t="s">
        <v>29</v>
      </c>
      <c r="F14" s="32" t="s">
        <v>14</v>
      </c>
      <c r="G14" s="46" t="s">
        <v>33</v>
      </c>
      <c r="H14" s="46">
        <v>1</v>
      </c>
      <c r="I14" s="46">
        <f t="shared" ref="I14:I30" si="1">B14</f>
        <v>9.8000000000000004E-2</v>
      </c>
      <c r="J14" s="46" t="s">
        <v>31</v>
      </c>
      <c r="K14" s="46" t="s">
        <v>31</v>
      </c>
      <c r="L14" s="46" t="s">
        <v>31</v>
      </c>
      <c r="M14" s="46" t="s">
        <v>31</v>
      </c>
      <c r="U14" s="388" t="s">
        <v>966</v>
      </c>
      <c r="V14" s="388" t="s">
        <v>575</v>
      </c>
      <c r="W14" s="389">
        <v>98</v>
      </c>
      <c r="Y14" s="46" t="s">
        <v>221</v>
      </c>
      <c r="Z14" s="46">
        <f>0.001*W14</f>
        <v>9.8000000000000004E-2</v>
      </c>
    </row>
    <row r="15" spans="1:26">
      <c r="A15" s="138" t="s">
        <v>829</v>
      </c>
      <c r="B15" s="46">
        <f t="shared" si="0"/>
        <v>2.59</v>
      </c>
      <c r="C15" s="46" t="s">
        <v>37</v>
      </c>
      <c r="D15" s="46" t="s">
        <v>40</v>
      </c>
      <c r="E15" s="46" t="s">
        <v>29</v>
      </c>
      <c r="F15" s="32" t="s">
        <v>58</v>
      </c>
      <c r="G15" s="46" t="s">
        <v>33</v>
      </c>
      <c r="H15" s="46">
        <v>1</v>
      </c>
      <c r="I15" s="46">
        <f t="shared" si="1"/>
        <v>2.59</v>
      </c>
      <c r="J15" s="46" t="s">
        <v>31</v>
      </c>
      <c r="K15" s="46" t="s">
        <v>31</v>
      </c>
      <c r="L15" s="46" t="s">
        <v>31</v>
      </c>
      <c r="M15" s="46" t="s">
        <v>31</v>
      </c>
      <c r="U15" s="388" t="s">
        <v>967</v>
      </c>
      <c r="V15" s="388" t="s">
        <v>221</v>
      </c>
      <c r="W15" s="389">
        <v>2.59</v>
      </c>
      <c r="Y15" s="46" t="s">
        <v>221</v>
      </c>
      <c r="Z15" s="46">
        <f>W15</f>
        <v>2.59</v>
      </c>
    </row>
    <row r="16" spans="1:26">
      <c r="A16" s="387" t="s">
        <v>1133</v>
      </c>
      <c r="B16" s="46">
        <f t="shared" si="0"/>
        <v>1.97</v>
      </c>
      <c r="C16" s="46" t="s">
        <v>37</v>
      </c>
      <c r="D16" s="46" t="s">
        <v>2</v>
      </c>
      <c r="E16" s="46" t="s">
        <v>29</v>
      </c>
      <c r="F16" s="32" t="s">
        <v>14</v>
      </c>
      <c r="G16" s="46" t="s">
        <v>33</v>
      </c>
      <c r="H16" s="46">
        <v>1</v>
      </c>
      <c r="I16" s="46">
        <f t="shared" si="1"/>
        <v>1.97</v>
      </c>
      <c r="J16" s="46" t="s">
        <v>31</v>
      </c>
      <c r="K16" s="46" t="s">
        <v>31</v>
      </c>
      <c r="L16" s="46" t="s">
        <v>31</v>
      </c>
      <c r="M16" s="46" t="s">
        <v>31</v>
      </c>
      <c r="U16" s="388" t="s">
        <v>969</v>
      </c>
      <c r="V16" s="388" t="s">
        <v>221</v>
      </c>
      <c r="W16" s="389">
        <v>1.97</v>
      </c>
      <c r="Y16" s="46" t="s">
        <v>221</v>
      </c>
      <c r="Z16" s="46">
        <f>W16</f>
        <v>1.97</v>
      </c>
    </row>
    <row r="17" spans="1:29" s="477" customFormat="1">
      <c r="A17" s="476" t="s">
        <v>1134</v>
      </c>
      <c r="B17" s="477">
        <f t="shared" si="0"/>
        <v>7.7777777777777765E-2</v>
      </c>
      <c r="C17" s="477" t="s">
        <v>113</v>
      </c>
      <c r="D17" s="477" t="s">
        <v>2</v>
      </c>
      <c r="E17" s="477" t="s">
        <v>29</v>
      </c>
      <c r="F17" s="15" t="s">
        <v>14</v>
      </c>
      <c r="G17" s="477" t="s">
        <v>33</v>
      </c>
      <c r="H17" s="46">
        <v>1</v>
      </c>
      <c r="I17" s="46">
        <f t="shared" si="1"/>
        <v>7.7777777777777765E-2</v>
      </c>
      <c r="J17" s="477" t="s">
        <v>31</v>
      </c>
      <c r="K17" s="477" t="s">
        <v>31</v>
      </c>
      <c r="L17" s="477" t="s">
        <v>31</v>
      </c>
      <c r="M17" s="477" t="s">
        <v>31</v>
      </c>
      <c r="O17" s="477" t="s">
        <v>971</v>
      </c>
      <c r="U17" s="478" t="s">
        <v>972</v>
      </c>
      <c r="V17" s="479" t="s">
        <v>575</v>
      </c>
      <c r="W17" s="480">
        <v>420</v>
      </c>
      <c r="Y17" s="477" t="s">
        <v>605</v>
      </c>
      <c r="Z17" s="477">
        <f>W17*0.001*AB17</f>
        <v>7.7777777777777765E-2</v>
      </c>
      <c r="AB17" s="477">
        <f>'2D. Reusable'!T36</f>
        <v>0.18518518518518517</v>
      </c>
      <c r="AC17" s="477" t="s">
        <v>832</v>
      </c>
    </row>
    <row r="18" spans="1:29">
      <c r="A18" s="387" t="s">
        <v>1135</v>
      </c>
      <c r="B18" s="46">
        <f t="shared" si="0"/>
        <v>1.0920000000000001</v>
      </c>
      <c r="C18" s="46" t="s">
        <v>37</v>
      </c>
      <c r="D18" s="46" t="s">
        <v>2</v>
      </c>
      <c r="E18" s="46" t="s">
        <v>29</v>
      </c>
      <c r="F18" s="32" t="s">
        <v>14</v>
      </c>
      <c r="G18" s="46" t="s">
        <v>33</v>
      </c>
      <c r="H18" s="46">
        <v>1</v>
      </c>
      <c r="I18" s="46">
        <f t="shared" si="1"/>
        <v>1.0920000000000001</v>
      </c>
      <c r="J18" s="46" t="s">
        <v>31</v>
      </c>
      <c r="K18" s="46" t="s">
        <v>31</v>
      </c>
      <c r="L18" s="46" t="s">
        <v>31</v>
      </c>
      <c r="M18" s="46" t="s">
        <v>31</v>
      </c>
      <c r="U18" s="451" t="s">
        <v>974</v>
      </c>
      <c r="V18" s="388" t="s">
        <v>575</v>
      </c>
      <c r="W18" s="389">
        <v>1092</v>
      </c>
      <c r="Y18" s="46" t="s">
        <v>221</v>
      </c>
      <c r="Z18" s="46">
        <f>0.001*W18</f>
        <v>1.0920000000000001</v>
      </c>
    </row>
    <row r="19" spans="1:29">
      <c r="A19" s="121" t="s">
        <v>834</v>
      </c>
      <c r="B19" s="46">
        <f t="shared" si="0"/>
        <v>1.0999999999999999E-2</v>
      </c>
      <c r="C19" s="46" t="s">
        <v>37</v>
      </c>
      <c r="D19" s="46" t="s">
        <v>40</v>
      </c>
      <c r="E19" s="46" t="s">
        <v>29</v>
      </c>
      <c r="F19" s="32" t="s">
        <v>35</v>
      </c>
      <c r="G19" s="46" t="s">
        <v>33</v>
      </c>
      <c r="H19" s="46">
        <v>1</v>
      </c>
      <c r="I19" s="46">
        <f t="shared" si="1"/>
        <v>1.0999999999999999E-2</v>
      </c>
      <c r="J19" s="46" t="s">
        <v>31</v>
      </c>
      <c r="K19" s="46" t="s">
        <v>31</v>
      </c>
      <c r="L19" s="46" t="s">
        <v>31</v>
      </c>
      <c r="M19" s="46" t="s">
        <v>31</v>
      </c>
      <c r="N19" s="338" t="s">
        <v>835</v>
      </c>
      <c r="U19" s="388" t="s">
        <v>835</v>
      </c>
      <c r="V19" s="388" t="s">
        <v>575</v>
      </c>
      <c r="W19" s="389">
        <v>11</v>
      </c>
      <c r="Y19" s="46" t="s">
        <v>221</v>
      </c>
      <c r="Z19" s="46">
        <f>0.001*W19</f>
        <v>1.0999999999999999E-2</v>
      </c>
    </row>
    <row r="20" spans="1:29">
      <c r="A20" s="121" t="s">
        <v>601</v>
      </c>
      <c r="B20" s="46">
        <f t="shared" si="0"/>
        <v>4.4999999999999998E-2</v>
      </c>
      <c r="C20" s="46" t="s">
        <v>37</v>
      </c>
      <c r="D20" s="46" t="s">
        <v>40</v>
      </c>
      <c r="E20" s="46" t="s">
        <v>29</v>
      </c>
      <c r="F20" s="32" t="s">
        <v>35</v>
      </c>
      <c r="G20" s="46" t="s">
        <v>33</v>
      </c>
      <c r="H20" s="46">
        <v>1</v>
      </c>
      <c r="I20" s="46">
        <f t="shared" si="1"/>
        <v>4.4999999999999998E-2</v>
      </c>
      <c r="J20" s="46" t="s">
        <v>31</v>
      </c>
      <c r="K20" s="46" t="s">
        <v>31</v>
      </c>
      <c r="L20" s="46" t="s">
        <v>31</v>
      </c>
      <c r="M20" s="46" t="s">
        <v>31</v>
      </c>
      <c r="N20" s="338" t="s">
        <v>836</v>
      </c>
      <c r="U20" s="451" t="s">
        <v>836</v>
      </c>
      <c r="V20" s="388" t="s">
        <v>575</v>
      </c>
      <c r="W20" s="389">
        <v>45</v>
      </c>
      <c r="Y20" s="46" t="s">
        <v>221</v>
      </c>
      <c r="Z20" s="46">
        <f t="shared" ref="Z20:Z22" si="2">0.001*W20</f>
        <v>4.4999999999999998E-2</v>
      </c>
    </row>
    <row r="21" spans="1:29">
      <c r="A21" s="121" t="s">
        <v>834</v>
      </c>
      <c r="B21" s="46">
        <f t="shared" si="0"/>
        <v>2E-3</v>
      </c>
      <c r="C21" s="46" t="s">
        <v>37</v>
      </c>
      <c r="D21" s="46" t="s">
        <v>40</v>
      </c>
      <c r="E21" s="46" t="s">
        <v>29</v>
      </c>
      <c r="F21" s="32" t="s">
        <v>35</v>
      </c>
      <c r="G21" s="46" t="s">
        <v>33</v>
      </c>
      <c r="H21" s="46">
        <v>1</v>
      </c>
      <c r="I21" s="46">
        <f t="shared" si="1"/>
        <v>2E-3</v>
      </c>
      <c r="J21" s="46" t="s">
        <v>31</v>
      </c>
      <c r="K21" s="46" t="s">
        <v>31</v>
      </c>
      <c r="L21" s="46" t="s">
        <v>31</v>
      </c>
      <c r="M21" s="46" t="s">
        <v>31</v>
      </c>
      <c r="N21" s="338" t="s">
        <v>837</v>
      </c>
      <c r="U21" s="451" t="s">
        <v>837</v>
      </c>
      <c r="V21" s="388" t="s">
        <v>575</v>
      </c>
      <c r="W21" s="389">
        <v>2</v>
      </c>
      <c r="Y21" s="46" t="s">
        <v>221</v>
      </c>
      <c r="Z21" s="46">
        <f t="shared" si="2"/>
        <v>2E-3</v>
      </c>
    </row>
    <row r="22" spans="1:29">
      <c r="A22" s="121" t="s">
        <v>975</v>
      </c>
      <c r="B22" s="46">
        <f t="shared" si="0"/>
        <v>2E-3</v>
      </c>
      <c r="C22" s="46" t="s">
        <v>37</v>
      </c>
      <c r="D22" s="46" t="s">
        <v>40</v>
      </c>
      <c r="E22" s="46" t="s">
        <v>29</v>
      </c>
      <c r="F22" s="32" t="s">
        <v>35</v>
      </c>
      <c r="G22" s="46" t="s">
        <v>33</v>
      </c>
      <c r="H22" s="46">
        <v>1</v>
      </c>
      <c r="I22" s="46">
        <f t="shared" si="1"/>
        <v>2E-3</v>
      </c>
      <c r="J22" s="46" t="s">
        <v>31</v>
      </c>
      <c r="K22" s="46" t="s">
        <v>31</v>
      </c>
      <c r="L22" s="46" t="s">
        <v>31</v>
      </c>
      <c r="M22" s="46" t="s">
        <v>31</v>
      </c>
      <c r="N22" s="338" t="s">
        <v>837</v>
      </c>
      <c r="U22" s="451" t="s">
        <v>837</v>
      </c>
      <c r="V22" s="388" t="s">
        <v>575</v>
      </c>
      <c r="W22" s="481">
        <v>2</v>
      </c>
      <c r="Y22" s="46" t="s">
        <v>221</v>
      </c>
      <c r="Z22" s="46">
        <f t="shared" si="2"/>
        <v>2E-3</v>
      </c>
    </row>
    <row r="23" spans="1:29">
      <c r="A23" s="138" t="s">
        <v>1136</v>
      </c>
      <c r="B23" s="46">
        <f t="shared" si="0"/>
        <v>1.17</v>
      </c>
      <c r="C23" s="46" t="s">
        <v>37</v>
      </c>
      <c r="D23" s="46" t="s">
        <v>2</v>
      </c>
      <c r="E23" s="46" t="s">
        <v>29</v>
      </c>
      <c r="F23" s="32" t="s">
        <v>14</v>
      </c>
      <c r="G23" s="46" t="s">
        <v>33</v>
      </c>
      <c r="H23" s="46">
        <v>1</v>
      </c>
      <c r="I23" s="46">
        <f t="shared" si="1"/>
        <v>1.17</v>
      </c>
      <c r="J23" s="46" t="s">
        <v>31</v>
      </c>
      <c r="K23" s="46" t="s">
        <v>31</v>
      </c>
      <c r="L23" s="46" t="s">
        <v>31</v>
      </c>
      <c r="M23" s="46" t="s">
        <v>31</v>
      </c>
      <c r="N23" s="338" t="s">
        <v>977</v>
      </c>
      <c r="U23" s="388" t="s">
        <v>977</v>
      </c>
      <c r="V23" s="388" t="s">
        <v>221</v>
      </c>
      <c r="W23" s="389">
        <v>1.17</v>
      </c>
      <c r="Y23" s="46" t="s">
        <v>221</v>
      </c>
      <c r="Z23" s="46">
        <f>W23</f>
        <v>1.17</v>
      </c>
    </row>
    <row r="24" spans="1:29">
      <c r="A24" s="387" t="s">
        <v>1137</v>
      </c>
      <c r="B24" s="350">
        <f>'2D. Machined casing'!B7</f>
        <v>5.25</v>
      </c>
      <c r="C24" s="46" t="s">
        <v>37</v>
      </c>
      <c r="D24" s="46" t="s">
        <v>2</v>
      </c>
      <c r="E24" s="46" t="s">
        <v>29</v>
      </c>
      <c r="F24" s="32" t="s">
        <v>14</v>
      </c>
      <c r="G24" s="46" t="s">
        <v>33</v>
      </c>
      <c r="H24" s="46">
        <v>1</v>
      </c>
      <c r="I24" s="46">
        <f t="shared" si="1"/>
        <v>5.25</v>
      </c>
      <c r="J24" s="46" t="s">
        <v>31</v>
      </c>
      <c r="K24" s="46" t="s">
        <v>31</v>
      </c>
      <c r="L24" s="46" t="s">
        <v>31</v>
      </c>
      <c r="M24" s="46" t="s">
        <v>31</v>
      </c>
      <c r="N24" s="338" t="s">
        <v>840</v>
      </c>
      <c r="U24" s="388" t="s">
        <v>979</v>
      </c>
      <c r="V24" s="392" t="s">
        <v>221</v>
      </c>
      <c r="W24" s="389">
        <v>5.3</v>
      </c>
      <c r="Y24" s="46" t="s">
        <v>221</v>
      </c>
      <c r="Z24" s="46">
        <f>W24</f>
        <v>5.3</v>
      </c>
    </row>
    <row r="25" spans="1:29">
      <c r="A25" s="121" t="s">
        <v>842</v>
      </c>
      <c r="B25" s="46">
        <f t="shared" si="0"/>
        <v>3.5000000000000003E-2</v>
      </c>
      <c r="C25" s="46" t="s">
        <v>37</v>
      </c>
      <c r="D25" s="46" t="s">
        <v>40</v>
      </c>
      <c r="E25" s="46" t="s">
        <v>29</v>
      </c>
      <c r="F25" s="32" t="s">
        <v>128</v>
      </c>
      <c r="G25" s="46" t="s">
        <v>33</v>
      </c>
      <c r="H25" s="46">
        <v>1</v>
      </c>
      <c r="I25" s="46">
        <f t="shared" si="1"/>
        <v>3.5000000000000003E-2</v>
      </c>
      <c r="J25" s="46" t="s">
        <v>31</v>
      </c>
      <c r="K25" s="46" t="s">
        <v>31</v>
      </c>
      <c r="L25" s="46" t="s">
        <v>31</v>
      </c>
      <c r="M25" s="46" t="s">
        <v>31</v>
      </c>
      <c r="N25" s="338" t="s">
        <v>843</v>
      </c>
      <c r="U25" s="393" t="s">
        <v>843</v>
      </c>
      <c r="V25" s="393" t="s">
        <v>575</v>
      </c>
      <c r="W25" s="394">
        <v>35</v>
      </c>
      <c r="Y25" s="46" t="s">
        <v>221</v>
      </c>
      <c r="Z25" s="46">
        <f t="shared" ref="Z25:Z27" si="3">0.001*W25</f>
        <v>3.5000000000000003E-2</v>
      </c>
    </row>
    <row r="26" spans="1:29">
      <c r="A26" s="121" t="s">
        <v>844</v>
      </c>
      <c r="B26" s="46">
        <f t="shared" si="0"/>
        <v>7.0000000000000001E-3</v>
      </c>
      <c r="C26" s="46" t="s">
        <v>37</v>
      </c>
      <c r="D26" s="46" t="s">
        <v>40</v>
      </c>
      <c r="E26" s="46" t="s">
        <v>29</v>
      </c>
      <c r="F26" s="32" t="s">
        <v>58</v>
      </c>
      <c r="G26" s="46" t="s">
        <v>33</v>
      </c>
      <c r="H26" s="46">
        <v>1</v>
      </c>
      <c r="I26" s="46">
        <f t="shared" si="1"/>
        <v>7.0000000000000001E-3</v>
      </c>
      <c r="J26" s="46" t="s">
        <v>31</v>
      </c>
      <c r="K26" s="46" t="s">
        <v>31</v>
      </c>
      <c r="L26" s="46" t="s">
        <v>31</v>
      </c>
      <c r="M26" s="46" t="s">
        <v>31</v>
      </c>
      <c r="N26" s="46" t="s">
        <v>845</v>
      </c>
      <c r="U26" s="393" t="s">
        <v>845</v>
      </c>
      <c r="V26" s="393" t="s">
        <v>575</v>
      </c>
      <c r="W26" s="394">
        <v>7</v>
      </c>
      <c r="Y26" s="46" t="s">
        <v>221</v>
      </c>
      <c r="Z26" s="46">
        <f t="shared" si="3"/>
        <v>7.0000000000000001E-3</v>
      </c>
    </row>
    <row r="27" spans="1:29">
      <c r="A27" s="121" t="s">
        <v>601</v>
      </c>
      <c r="B27" s="46">
        <f t="shared" si="0"/>
        <v>7.0000000000000001E-3</v>
      </c>
      <c r="C27" s="46" t="s">
        <v>37</v>
      </c>
      <c r="D27" s="46" t="s">
        <v>40</v>
      </c>
      <c r="E27" s="46" t="s">
        <v>29</v>
      </c>
      <c r="F27" s="32" t="s">
        <v>35</v>
      </c>
      <c r="G27" s="46" t="s">
        <v>33</v>
      </c>
      <c r="H27" s="46">
        <v>1</v>
      </c>
      <c r="I27" s="46">
        <f t="shared" si="1"/>
        <v>7.0000000000000001E-3</v>
      </c>
      <c r="J27" s="46" t="s">
        <v>31</v>
      </c>
      <c r="K27" s="46" t="s">
        <v>31</v>
      </c>
      <c r="L27" s="46" t="s">
        <v>31</v>
      </c>
      <c r="M27" s="46" t="s">
        <v>31</v>
      </c>
      <c r="N27" s="46" t="s">
        <v>846</v>
      </c>
      <c r="U27" s="393" t="s">
        <v>846</v>
      </c>
      <c r="V27" s="393" t="s">
        <v>575</v>
      </c>
      <c r="W27" s="394">
        <v>7</v>
      </c>
      <c r="Y27" s="46" t="s">
        <v>221</v>
      </c>
      <c r="Z27" s="46">
        <f t="shared" si="3"/>
        <v>7.0000000000000001E-3</v>
      </c>
    </row>
    <row r="28" spans="1:29">
      <c r="A28" s="452" t="s">
        <v>75</v>
      </c>
      <c r="B28" s="46">
        <f>0.6+0.7</f>
        <v>1.2999999999999998</v>
      </c>
      <c r="C28" s="46" t="s">
        <v>39</v>
      </c>
      <c r="D28" s="46" t="s">
        <v>40</v>
      </c>
      <c r="E28" s="46" t="s">
        <v>29</v>
      </c>
      <c r="F28" s="46" t="s">
        <v>14</v>
      </c>
      <c r="G28" s="46" t="s">
        <v>33</v>
      </c>
      <c r="H28" s="46">
        <v>1</v>
      </c>
      <c r="I28" s="46">
        <f t="shared" si="1"/>
        <v>1.2999999999999998</v>
      </c>
      <c r="J28" s="46" t="s">
        <v>31</v>
      </c>
      <c r="K28" s="46" t="s">
        <v>31</v>
      </c>
      <c r="L28" s="46" t="s">
        <v>31</v>
      </c>
      <c r="M28" s="46" t="s">
        <v>31</v>
      </c>
      <c r="N28" s="46" t="s">
        <v>980</v>
      </c>
      <c r="U28" s="388"/>
      <c r="V28" s="392"/>
      <c r="W28" s="389"/>
    </row>
    <row r="29" spans="1:29">
      <c r="A29" s="452" t="s">
        <v>75</v>
      </c>
      <c r="B29" s="46">
        <v>2.8</v>
      </c>
      <c r="C29" s="46" t="s">
        <v>39</v>
      </c>
      <c r="D29" s="46" t="s">
        <v>40</v>
      </c>
      <c r="E29" s="46" t="s">
        <v>29</v>
      </c>
      <c r="F29" s="46" t="s">
        <v>14</v>
      </c>
      <c r="G29" s="46" t="s">
        <v>33</v>
      </c>
      <c r="H29" s="46">
        <v>1</v>
      </c>
      <c r="I29" s="46">
        <f t="shared" si="1"/>
        <v>2.8</v>
      </c>
      <c r="J29" s="46" t="s">
        <v>31</v>
      </c>
      <c r="K29" s="46" t="s">
        <v>31</v>
      </c>
      <c r="L29" s="46" t="s">
        <v>31</v>
      </c>
      <c r="M29" s="46" t="s">
        <v>31</v>
      </c>
      <c r="N29" s="46" t="s">
        <v>848</v>
      </c>
    </row>
    <row r="30" spans="1:29">
      <c r="A30" s="452" t="s">
        <v>75</v>
      </c>
      <c r="B30" s="46">
        <v>1.5</v>
      </c>
      <c r="C30" s="46" t="s">
        <v>39</v>
      </c>
      <c r="D30" s="46" t="s">
        <v>40</v>
      </c>
      <c r="E30" s="46" t="s">
        <v>29</v>
      </c>
      <c r="F30" s="46" t="s">
        <v>14</v>
      </c>
      <c r="G30" s="46" t="s">
        <v>33</v>
      </c>
      <c r="H30" s="46">
        <v>1</v>
      </c>
      <c r="I30" s="46">
        <f t="shared" si="1"/>
        <v>1.5</v>
      </c>
      <c r="J30" s="46" t="s">
        <v>31</v>
      </c>
      <c r="K30" s="46" t="s">
        <v>31</v>
      </c>
      <c r="L30" s="46" t="s">
        <v>31</v>
      </c>
      <c r="M30" s="46" t="s">
        <v>31</v>
      </c>
      <c r="N30" s="46" t="s">
        <v>849</v>
      </c>
    </row>
    <row r="31" spans="1:29">
      <c r="A31" s="362"/>
      <c r="B31" s="363"/>
      <c r="C31" s="364"/>
      <c r="D31" s="345"/>
      <c r="E31" s="345"/>
      <c r="F31" s="345"/>
      <c r="G31" s="345"/>
      <c r="H31" s="345"/>
      <c r="I31" s="345"/>
      <c r="J31" s="345"/>
      <c r="K31" s="345"/>
      <c r="L31" s="345"/>
      <c r="M31" s="345"/>
      <c r="O31" s="46" t="s">
        <v>1138</v>
      </c>
    </row>
    <row r="32" spans="1:29">
      <c r="A32" s="338"/>
      <c r="C32" s="337"/>
      <c r="N32" s="46" t="s">
        <v>851</v>
      </c>
      <c r="O32" s="46">
        <f>SUM(B13:B27)-B17+0.42</f>
        <v>12.776999999999997</v>
      </c>
    </row>
    <row r="33" spans="1:14">
      <c r="A33" s="338"/>
      <c r="C33" s="337"/>
    </row>
    <row r="34" spans="1:14">
      <c r="A34" s="338"/>
      <c r="B34" s="339"/>
    </row>
    <row r="36" spans="1:14">
      <c r="A36" s="338"/>
    </row>
    <row r="38" spans="1:14">
      <c r="A38" s="62"/>
      <c r="B38" s="412"/>
      <c r="F38" s="32"/>
    </row>
    <row r="39" spans="1:14">
      <c r="A39" s="335"/>
    </row>
    <row r="40" spans="1:14">
      <c r="A40" s="335"/>
      <c r="B40" s="336"/>
      <c r="C40" s="336"/>
      <c r="D40" s="336"/>
      <c r="E40" s="336"/>
      <c r="F40" s="336"/>
      <c r="G40" s="336"/>
      <c r="H40" s="336"/>
      <c r="I40" s="336"/>
      <c r="J40" s="336"/>
      <c r="K40" s="336"/>
      <c r="L40" s="336"/>
      <c r="M40" s="336"/>
      <c r="N40" s="336"/>
    </row>
    <row r="41" spans="1:14">
      <c r="A41" s="338"/>
      <c r="F41" s="32"/>
    </row>
    <row r="42" spans="1:14">
      <c r="A42" s="338"/>
      <c r="F42" s="32"/>
    </row>
    <row r="43" spans="1:14">
      <c r="A43" s="338"/>
      <c r="F43" s="32"/>
    </row>
    <row r="44" spans="1:14">
      <c r="A44" s="338"/>
      <c r="F44" s="32"/>
    </row>
    <row r="45" spans="1:14">
      <c r="A45" s="338"/>
      <c r="F45" s="32"/>
    </row>
    <row r="46" spans="1:14">
      <c r="A46" s="338"/>
      <c r="F46" s="32"/>
    </row>
    <row r="47" spans="1:14">
      <c r="A47" s="338"/>
      <c r="F47" s="32"/>
    </row>
    <row r="48" spans="1:14">
      <c r="A48" s="338"/>
      <c r="F48" s="32"/>
    </row>
    <row r="49" spans="1:6">
      <c r="A49" s="338"/>
      <c r="F49" s="32"/>
    </row>
    <row r="50" spans="1:6">
      <c r="A50" s="338"/>
      <c r="F50" s="32"/>
    </row>
    <row r="51" spans="1:6">
      <c r="A51" s="338"/>
      <c r="F51" s="32"/>
    </row>
    <row r="52" spans="1:6">
      <c r="A52" s="338"/>
      <c r="F52" s="32"/>
    </row>
    <row r="53" spans="1:6">
      <c r="A53" s="338"/>
      <c r="F53" s="32"/>
    </row>
    <row r="54" spans="1:6">
      <c r="A54" s="338"/>
      <c r="F54" s="32"/>
    </row>
    <row r="55" spans="1:6">
      <c r="F55" s="32"/>
    </row>
    <row r="57" spans="1:6">
      <c r="A57" s="338"/>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B8B9-4AEA-49D5-A97C-77FA14F7900E}">
  <sheetPr>
    <tabColor rgb="FFFFFF00"/>
  </sheetPr>
  <dimension ref="A1:U104"/>
  <sheetViews>
    <sheetView topLeftCell="A72" zoomScale="85" zoomScaleNormal="85" workbookViewId="0">
      <selection activeCell="A36" sqref="A36"/>
    </sheetView>
  </sheetViews>
  <sheetFormatPr defaultRowHeight="12.75"/>
  <cols>
    <col min="1" max="1" width="52.42578125" style="373" customWidth="1"/>
    <col min="2" max="2" width="17.5703125" style="46" customWidth="1"/>
    <col min="3" max="3" width="13.7109375" style="46" customWidth="1"/>
    <col min="4" max="4" width="39.85546875" style="46" customWidth="1"/>
    <col min="5" max="6" width="9.140625" style="46"/>
    <col min="7" max="7" width="14.85546875" style="46" customWidth="1"/>
    <col min="8" max="15" width="9.140625" style="46"/>
    <col min="16" max="16" width="12.140625" style="46" customWidth="1"/>
    <col min="17" max="16384" width="9.140625" style="46"/>
  </cols>
  <sheetData>
    <row r="1" spans="1:21">
      <c r="A1" s="46" t="s">
        <v>0</v>
      </c>
      <c r="B1" s="46">
        <v>13</v>
      </c>
    </row>
    <row r="2" spans="1:21">
      <c r="A2" s="396" t="s">
        <v>5</v>
      </c>
      <c r="B2" s="148" t="s">
        <v>1134</v>
      </c>
      <c r="C2" s="364"/>
      <c r="D2" s="345"/>
      <c r="E2" s="345"/>
      <c r="F2" s="345"/>
      <c r="G2" s="345"/>
      <c r="H2" s="345"/>
      <c r="I2" s="345"/>
      <c r="J2" s="345"/>
      <c r="K2" s="345"/>
      <c r="L2" s="345"/>
      <c r="M2" s="345"/>
      <c r="N2" s="345"/>
      <c r="O2" s="345"/>
      <c r="P2" s="345"/>
      <c r="Q2" s="345"/>
      <c r="R2" s="345"/>
    </row>
    <row r="3" spans="1:21">
      <c r="A3" s="398" t="s">
        <v>7</v>
      </c>
      <c r="B3" s="46" t="s">
        <v>779</v>
      </c>
      <c r="C3" s="337"/>
    </row>
    <row r="4" spans="1:21">
      <c r="A4" s="398" t="s">
        <v>9</v>
      </c>
      <c r="B4" s="373" t="s">
        <v>1139</v>
      </c>
      <c r="C4" s="337"/>
      <c r="U4" s="381"/>
    </row>
    <row r="5" spans="1:21" ht="12.75" customHeight="1">
      <c r="A5" s="398" t="s">
        <v>11</v>
      </c>
      <c r="B5" s="339" t="s">
        <v>789</v>
      </c>
    </row>
    <row r="6" spans="1:21">
      <c r="A6" s="398" t="s">
        <v>13</v>
      </c>
      <c r="B6" s="46" t="s">
        <v>14</v>
      </c>
    </row>
    <row r="7" spans="1:21">
      <c r="A7" s="398" t="s">
        <v>15</v>
      </c>
      <c r="B7" s="46">
        <f>B12</f>
        <v>8.0000000000000002E-3</v>
      </c>
    </row>
    <row r="8" spans="1:21">
      <c r="A8" s="398" t="s">
        <v>16</v>
      </c>
      <c r="B8" s="46" t="s">
        <v>17</v>
      </c>
    </row>
    <row r="9" spans="1:21">
      <c r="A9" s="398" t="s">
        <v>18</v>
      </c>
      <c r="B9" s="46" t="s">
        <v>113</v>
      </c>
    </row>
    <row r="10" spans="1:21">
      <c r="A10" s="399" t="s">
        <v>19</v>
      </c>
    </row>
    <row r="11" spans="1:21">
      <c r="A11" s="399"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row>
    <row r="12" spans="1:21">
      <c r="A12" s="373" t="s">
        <v>1134</v>
      </c>
      <c r="B12" s="46">
        <v>8.0000000000000002E-3</v>
      </c>
      <c r="C12" s="46" t="s">
        <v>113</v>
      </c>
      <c r="D12" s="400" t="s">
        <v>2</v>
      </c>
      <c r="E12" s="46" t="s">
        <v>29</v>
      </c>
      <c r="F12" s="32" t="s">
        <v>14</v>
      </c>
      <c r="G12" s="46" t="s">
        <v>30</v>
      </c>
      <c r="H12" s="46">
        <v>1</v>
      </c>
      <c r="I12" s="46">
        <f>B12</f>
        <v>8.0000000000000002E-3</v>
      </c>
      <c r="J12" s="46" t="s">
        <v>31</v>
      </c>
      <c r="K12" s="46" t="s">
        <v>31</v>
      </c>
      <c r="L12" s="46" t="s">
        <v>31</v>
      </c>
      <c r="M12" s="46" t="s">
        <v>31</v>
      </c>
      <c r="O12" s="401" t="s">
        <v>1140</v>
      </c>
      <c r="P12" s="402"/>
    </row>
    <row r="13" spans="1:21">
      <c r="A13" s="373" t="s">
        <v>1141</v>
      </c>
      <c r="B13" s="46">
        <f>Q13</f>
        <v>4.3200000000000002E-2</v>
      </c>
      <c r="C13" s="46" t="s">
        <v>37</v>
      </c>
      <c r="D13" s="400" t="s">
        <v>2</v>
      </c>
      <c r="E13" s="46" t="s">
        <v>29</v>
      </c>
      <c r="F13" s="32" t="s">
        <v>14</v>
      </c>
      <c r="G13" s="46" t="s">
        <v>33</v>
      </c>
      <c r="H13" s="46">
        <v>1</v>
      </c>
      <c r="I13" s="46">
        <f t="shared" ref="I13:I14" si="0">B13</f>
        <v>4.3200000000000002E-2</v>
      </c>
      <c r="J13" s="46" t="s">
        <v>31</v>
      </c>
      <c r="K13" s="46" t="s">
        <v>31</v>
      </c>
      <c r="L13" s="46" t="s">
        <v>31</v>
      </c>
      <c r="M13" s="46" t="s">
        <v>31</v>
      </c>
      <c r="O13" s="46">
        <f>0.05/0.27</f>
        <v>0.18518518518518517</v>
      </c>
      <c r="P13" s="46" t="s">
        <v>832</v>
      </c>
      <c r="Q13" s="46">
        <f>B12/O13</f>
        <v>4.3200000000000002E-2</v>
      </c>
    </row>
    <row r="14" spans="1:21">
      <c r="A14" s="373" t="s">
        <v>1142</v>
      </c>
      <c r="B14" s="46">
        <v>8.9999999999999993E-3</v>
      </c>
      <c r="C14" s="46" t="s">
        <v>113</v>
      </c>
      <c r="D14" s="400" t="s">
        <v>2</v>
      </c>
      <c r="E14" s="46" t="s">
        <v>29</v>
      </c>
      <c r="F14" s="32" t="s">
        <v>14</v>
      </c>
      <c r="G14" s="46" t="s">
        <v>33</v>
      </c>
      <c r="H14" s="46">
        <v>1</v>
      </c>
      <c r="I14" s="46">
        <f t="shared" si="0"/>
        <v>8.9999999999999993E-3</v>
      </c>
      <c r="J14" s="46" t="s">
        <v>31</v>
      </c>
      <c r="K14" s="46" t="s">
        <v>31</v>
      </c>
      <c r="L14" s="46" t="s">
        <v>31</v>
      </c>
      <c r="M14" s="46" t="s">
        <v>31</v>
      </c>
    </row>
    <row r="15" spans="1:21">
      <c r="A15" s="61" t="s">
        <v>792</v>
      </c>
      <c r="B15" s="46">
        <f>P15</f>
        <v>7.0000000000000007E-2</v>
      </c>
      <c r="C15" s="46" t="s">
        <v>37</v>
      </c>
      <c r="D15" s="46" t="s">
        <v>40</v>
      </c>
      <c r="E15" s="46" t="s">
        <v>29</v>
      </c>
      <c r="F15" s="32" t="s">
        <v>741</v>
      </c>
      <c r="G15" s="46" t="s">
        <v>33</v>
      </c>
      <c r="H15" s="46">
        <v>2</v>
      </c>
      <c r="I15" s="46">
        <f>LN(B15)</f>
        <v>-2.6592600369327779</v>
      </c>
      <c r="J15" s="456">
        <v>0.11236102527122109</v>
      </c>
      <c r="K15" s="46" t="s">
        <v>31</v>
      </c>
      <c r="L15" s="46" t="s">
        <v>31</v>
      </c>
      <c r="M15" s="46" t="s">
        <v>31</v>
      </c>
      <c r="O15" s="393" t="s">
        <v>221</v>
      </c>
      <c r="P15" s="406">
        <v>7.0000000000000007E-2</v>
      </c>
    </row>
    <row r="16" spans="1:21">
      <c r="A16" s="61" t="s">
        <v>857</v>
      </c>
      <c r="B16" s="407">
        <f>Q16</f>
        <v>3.5999999999999996E-9</v>
      </c>
      <c r="C16" s="46" t="s">
        <v>37</v>
      </c>
      <c r="D16" s="46" t="s">
        <v>40</v>
      </c>
      <c r="E16" s="46" t="s">
        <v>29</v>
      </c>
      <c r="F16" s="32" t="s">
        <v>58</v>
      </c>
      <c r="G16" s="46" t="s">
        <v>33</v>
      </c>
      <c r="H16" s="46">
        <v>2</v>
      </c>
      <c r="I16" s="46">
        <f t="shared" ref="I16:I17" si="1">LN(B16)</f>
        <v>-19.442331991484348</v>
      </c>
      <c r="J16" s="456">
        <v>0.11236102527122109</v>
      </c>
      <c r="K16" s="46" t="s">
        <v>31</v>
      </c>
      <c r="L16" s="46" t="s">
        <v>31</v>
      </c>
      <c r="M16" s="46" t="s">
        <v>31</v>
      </c>
      <c r="O16" s="408" t="s">
        <v>523</v>
      </c>
      <c r="P16" s="409">
        <v>3.5999999999999999E-3</v>
      </c>
      <c r="Q16" s="407">
        <f>P16*10^(-6)</f>
        <v>3.5999999999999996E-9</v>
      </c>
      <c r="R16" s="46" t="s">
        <v>37</v>
      </c>
    </row>
    <row r="17" spans="1:18">
      <c r="A17" s="61" t="s">
        <v>226</v>
      </c>
      <c r="B17" s="46">
        <f>Q17</f>
        <v>7.0000000000000007E-5</v>
      </c>
      <c r="C17" s="46" t="s">
        <v>42</v>
      </c>
      <c r="D17" s="46" t="s">
        <v>40</v>
      </c>
      <c r="E17" s="46" t="s">
        <v>29</v>
      </c>
      <c r="F17" s="32" t="s">
        <v>741</v>
      </c>
      <c r="G17" s="46" t="s">
        <v>33</v>
      </c>
      <c r="H17" s="46">
        <v>2</v>
      </c>
      <c r="I17" s="46">
        <f t="shared" si="1"/>
        <v>-9.5670153159149152</v>
      </c>
      <c r="J17" s="456">
        <v>0.11236102527122109</v>
      </c>
      <c r="K17" s="46" t="s">
        <v>31</v>
      </c>
      <c r="L17" s="46" t="s">
        <v>31</v>
      </c>
      <c r="M17" s="46" t="s">
        <v>31</v>
      </c>
      <c r="O17" s="410" t="s">
        <v>858</v>
      </c>
      <c r="P17" s="411">
        <v>7.0000000000000007E-2</v>
      </c>
      <c r="Q17" s="46">
        <f>P17/1000</f>
        <v>7.0000000000000007E-5</v>
      </c>
      <c r="R17" s="46" t="s">
        <v>859</v>
      </c>
    </row>
    <row r="18" spans="1:18">
      <c r="A18" s="396" t="s">
        <v>5</v>
      </c>
      <c r="B18" s="148" t="s">
        <v>1141</v>
      </c>
      <c r="C18" s="364"/>
      <c r="D18" s="345"/>
      <c r="E18" s="345"/>
      <c r="F18" s="345"/>
      <c r="G18" s="345"/>
      <c r="H18" s="345"/>
      <c r="I18" s="345"/>
      <c r="J18" s="345"/>
      <c r="K18" s="345"/>
      <c r="L18" s="345"/>
      <c r="M18" s="345"/>
      <c r="N18" s="345"/>
      <c r="O18" s="345"/>
      <c r="P18" s="345"/>
      <c r="Q18" s="345"/>
      <c r="R18" s="345"/>
    </row>
    <row r="19" spans="1:18">
      <c r="A19" s="398" t="s">
        <v>7</v>
      </c>
      <c r="B19" s="46" t="s">
        <v>779</v>
      </c>
      <c r="C19" s="337"/>
    </row>
    <row r="20" spans="1:18">
      <c r="A20" s="398" t="s">
        <v>9</v>
      </c>
      <c r="B20" s="46" t="s">
        <v>1143</v>
      </c>
      <c r="C20" s="337"/>
    </row>
    <row r="21" spans="1:18" ht="10.5" customHeight="1">
      <c r="A21" s="398" t="s">
        <v>11</v>
      </c>
      <c r="B21" s="339" t="s">
        <v>789</v>
      </c>
      <c r="P21" s="413"/>
    </row>
    <row r="22" spans="1:18">
      <c r="A22" s="398" t="s">
        <v>13</v>
      </c>
      <c r="B22" s="46" t="s">
        <v>14</v>
      </c>
      <c r="P22" s="413"/>
    </row>
    <row r="23" spans="1:18">
      <c r="A23" s="398" t="s">
        <v>15</v>
      </c>
      <c r="B23" s="46">
        <f>B28</f>
        <v>6.0000000000000001E-3</v>
      </c>
      <c r="P23" s="413"/>
    </row>
    <row r="24" spans="1:18">
      <c r="A24" s="398" t="s">
        <v>16</v>
      </c>
      <c r="B24" s="46" t="s">
        <v>17</v>
      </c>
    </row>
    <row r="25" spans="1:18">
      <c r="A25" s="398" t="s">
        <v>18</v>
      </c>
      <c r="B25" s="46" t="s">
        <v>37</v>
      </c>
    </row>
    <row r="26" spans="1:18">
      <c r="A26" s="399" t="s">
        <v>19</v>
      </c>
    </row>
    <row r="27" spans="1:18">
      <c r="A27" s="399" t="s">
        <v>20</v>
      </c>
      <c r="B27" s="336" t="s">
        <v>21</v>
      </c>
      <c r="C27" s="336" t="s">
        <v>18</v>
      </c>
      <c r="D27" s="336" t="s">
        <v>22</v>
      </c>
      <c r="E27" s="336" t="s">
        <v>7</v>
      </c>
      <c r="F27" s="336" t="s">
        <v>13</v>
      </c>
      <c r="G27" s="336" t="s">
        <v>16</v>
      </c>
      <c r="H27" s="336" t="s">
        <v>23</v>
      </c>
      <c r="I27" s="336" t="s">
        <v>24</v>
      </c>
      <c r="J27" s="336" t="s">
        <v>25</v>
      </c>
      <c r="K27" s="336" t="s">
        <v>26</v>
      </c>
      <c r="L27" s="336" t="s">
        <v>27</v>
      </c>
      <c r="M27" s="336" t="s">
        <v>28</v>
      </c>
      <c r="N27" s="336" t="s">
        <v>11</v>
      </c>
    </row>
    <row r="28" spans="1:18">
      <c r="A28" s="373" t="s">
        <v>1141</v>
      </c>
      <c r="B28" s="46">
        <v>6.0000000000000001E-3</v>
      </c>
      <c r="C28" s="46" t="s">
        <v>37</v>
      </c>
      <c r="D28" s="400" t="s">
        <v>2</v>
      </c>
      <c r="E28" s="46" t="s">
        <v>29</v>
      </c>
      <c r="F28" s="32" t="s">
        <v>14</v>
      </c>
      <c r="G28" s="46" t="s">
        <v>30</v>
      </c>
      <c r="H28" s="46">
        <v>1</v>
      </c>
      <c r="I28" s="46">
        <f>B28</f>
        <v>6.0000000000000001E-3</v>
      </c>
      <c r="J28" s="46" t="s">
        <v>31</v>
      </c>
      <c r="K28" s="46" t="s">
        <v>31</v>
      </c>
      <c r="L28" s="46" t="s">
        <v>31</v>
      </c>
      <c r="M28" s="46" t="s">
        <v>31</v>
      </c>
    </row>
    <row r="29" spans="1:18">
      <c r="A29" s="61" t="s">
        <v>857</v>
      </c>
      <c r="B29" s="407">
        <f>R29</f>
        <v>6.2000000000000006E-3</v>
      </c>
      <c r="C29" s="46" t="s">
        <v>37</v>
      </c>
      <c r="D29" s="46" t="s">
        <v>40</v>
      </c>
      <c r="E29" s="46" t="s">
        <v>29</v>
      </c>
      <c r="F29" s="32" t="s">
        <v>58</v>
      </c>
      <c r="G29" s="46" t="s">
        <v>33</v>
      </c>
      <c r="H29" s="46">
        <v>2</v>
      </c>
      <c r="I29" s="46">
        <f t="shared" ref="I29:I31" si="2">LN(B29)</f>
        <v>-5.083205986931091</v>
      </c>
      <c r="J29" s="456">
        <v>0.11236102527122109</v>
      </c>
      <c r="K29" s="46" t="s">
        <v>31</v>
      </c>
      <c r="L29" s="46" t="s">
        <v>31</v>
      </c>
      <c r="M29" s="46" t="s">
        <v>31</v>
      </c>
      <c r="O29" s="393" t="s">
        <v>575</v>
      </c>
      <c r="P29" s="406">
        <v>6.2</v>
      </c>
      <c r="Q29" s="46" t="s">
        <v>221</v>
      </c>
      <c r="R29" s="46">
        <f>P29*0.001</f>
        <v>6.2000000000000006E-3</v>
      </c>
    </row>
    <row r="30" spans="1:18">
      <c r="A30" s="398" t="s">
        <v>75</v>
      </c>
      <c r="B30" s="342">
        <f>P30</f>
        <v>0.03</v>
      </c>
      <c r="C30" s="46" t="s">
        <v>39</v>
      </c>
      <c r="D30" s="46" t="s">
        <v>40</v>
      </c>
      <c r="E30" s="46" t="s">
        <v>29</v>
      </c>
      <c r="F30" s="32" t="s">
        <v>35</v>
      </c>
      <c r="G30" s="46" t="s">
        <v>33</v>
      </c>
      <c r="H30" s="46">
        <v>2</v>
      </c>
      <c r="I30" s="46">
        <f t="shared" si="2"/>
        <v>-3.5065578973199818</v>
      </c>
      <c r="J30" s="456">
        <v>0.11236102527122109</v>
      </c>
      <c r="K30" s="46" t="s">
        <v>31</v>
      </c>
      <c r="L30" s="46" t="s">
        <v>31</v>
      </c>
      <c r="M30" s="46" t="s">
        <v>31</v>
      </c>
      <c r="O30" s="393" t="s">
        <v>216</v>
      </c>
      <c r="P30" s="406">
        <v>0.03</v>
      </c>
    </row>
    <row r="31" spans="1:18">
      <c r="A31" s="61" t="s">
        <v>861</v>
      </c>
      <c r="B31" s="46">
        <f>R31</f>
        <v>2.9999999999999997E-4</v>
      </c>
      <c r="C31" s="46" t="s">
        <v>37</v>
      </c>
      <c r="D31" s="46" t="s">
        <v>43</v>
      </c>
      <c r="E31" s="46" t="s">
        <v>862</v>
      </c>
      <c r="F31" s="32" t="s">
        <v>29</v>
      </c>
      <c r="G31" s="46" t="s">
        <v>45</v>
      </c>
      <c r="H31" s="46">
        <v>2</v>
      </c>
      <c r="I31" s="46">
        <f t="shared" si="2"/>
        <v>-8.1117280833080727</v>
      </c>
      <c r="J31" s="456">
        <v>0.11236102527122109</v>
      </c>
      <c r="K31" s="46" t="s">
        <v>31</v>
      </c>
      <c r="L31" s="46" t="s">
        <v>31</v>
      </c>
      <c r="M31" s="46" t="s">
        <v>31</v>
      </c>
      <c r="O31" s="410" t="s">
        <v>575</v>
      </c>
      <c r="P31" s="411">
        <v>0.3</v>
      </c>
      <c r="Q31" s="46" t="s">
        <v>221</v>
      </c>
      <c r="R31" s="46">
        <f>P31*0.001</f>
        <v>2.9999999999999997E-4</v>
      </c>
    </row>
    <row r="32" spans="1:18">
      <c r="A32" s="396" t="s">
        <v>5</v>
      </c>
      <c r="B32" s="363" t="s">
        <v>1142</v>
      </c>
      <c r="C32" s="364"/>
      <c r="D32" s="345"/>
      <c r="E32" s="345"/>
      <c r="F32" s="345"/>
      <c r="G32" s="345"/>
      <c r="H32" s="345"/>
      <c r="I32" s="345"/>
      <c r="J32" s="345"/>
      <c r="K32" s="345"/>
      <c r="L32" s="345"/>
      <c r="M32" s="345"/>
      <c r="N32" s="345"/>
      <c r="O32" s="345"/>
      <c r="P32" s="345"/>
      <c r="Q32" s="345"/>
      <c r="R32" s="345"/>
    </row>
    <row r="33" spans="1:21">
      <c r="A33" s="398" t="s">
        <v>7</v>
      </c>
      <c r="B33" s="46" t="s">
        <v>779</v>
      </c>
      <c r="C33" s="337"/>
    </row>
    <row r="34" spans="1:21">
      <c r="A34" s="398" t="s">
        <v>9</v>
      </c>
      <c r="B34" s="46" t="s">
        <v>1144</v>
      </c>
      <c r="C34" s="337"/>
    </row>
    <row r="35" spans="1:21" ht="15.75" customHeight="1">
      <c r="A35" s="398" t="s">
        <v>11</v>
      </c>
      <c r="B35" s="339" t="s">
        <v>789</v>
      </c>
      <c r="T35" s="381" t="s">
        <v>1145</v>
      </c>
    </row>
    <row r="36" spans="1:21">
      <c r="A36" s="398" t="s">
        <v>13</v>
      </c>
      <c r="B36" s="46" t="s">
        <v>14</v>
      </c>
      <c r="T36" s="46">
        <f>0.05/0.27</f>
        <v>0.18518518518518517</v>
      </c>
      <c r="U36" s="46" t="s">
        <v>832</v>
      </c>
    </row>
    <row r="37" spans="1:21">
      <c r="A37" s="398" t="s">
        <v>15</v>
      </c>
      <c r="B37" s="46">
        <f>B42</f>
        <v>0.05</v>
      </c>
    </row>
    <row r="38" spans="1:21">
      <c r="A38" s="398" t="s">
        <v>16</v>
      </c>
      <c r="B38" s="46" t="s">
        <v>17</v>
      </c>
    </row>
    <row r="39" spans="1:21">
      <c r="A39" s="398" t="s">
        <v>18</v>
      </c>
      <c r="B39" s="46" t="s">
        <v>113</v>
      </c>
    </row>
    <row r="40" spans="1:21">
      <c r="A40" s="399" t="s">
        <v>19</v>
      </c>
    </row>
    <row r="41" spans="1:21">
      <c r="A41" s="399" t="s">
        <v>20</v>
      </c>
      <c r="B41" s="336" t="s">
        <v>21</v>
      </c>
      <c r="C41" s="336" t="s">
        <v>18</v>
      </c>
      <c r="D41" s="336" t="s">
        <v>22</v>
      </c>
      <c r="E41" s="336" t="s">
        <v>7</v>
      </c>
      <c r="F41" s="336" t="s">
        <v>13</v>
      </c>
      <c r="G41" s="336" t="s">
        <v>16</v>
      </c>
      <c r="H41" s="336" t="s">
        <v>23</v>
      </c>
      <c r="I41" s="336" t="s">
        <v>24</v>
      </c>
      <c r="J41" s="336" t="s">
        <v>25</v>
      </c>
      <c r="K41" s="336" t="s">
        <v>26</v>
      </c>
      <c r="L41" s="336" t="s">
        <v>27</v>
      </c>
      <c r="M41" s="336" t="s">
        <v>28</v>
      </c>
      <c r="N41" s="336" t="s">
        <v>11</v>
      </c>
    </row>
    <row r="42" spans="1:21">
      <c r="A42" s="373" t="s">
        <v>1142</v>
      </c>
      <c r="B42" s="46">
        <f>P43</f>
        <v>0.05</v>
      </c>
      <c r="C42" s="46" t="s">
        <v>113</v>
      </c>
      <c r="D42" s="400" t="s">
        <v>2</v>
      </c>
      <c r="E42" s="46" t="s">
        <v>29</v>
      </c>
      <c r="F42" s="32" t="s">
        <v>14</v>
      </c>
      <c r="G42" s="46" t="s">
        <v>30</v>
      </c>
      <c r="H42" s="46">
        <v>1</v>
      </c>
      <c r="I42" s="46">
        <f t="shared" ref="I42:I43" si="3">B42</f>
        <v>0.05</v>
      </c>
      <c r="J42" s="46" t="s">
        <v>31</v>
      </c>
      <c r="K42" s="46" t="s">
        <v>31</v>
      </c>
      <c r="L42" s="46" t="s">
        <v>31</v>
      </c>
      <c r="M42" s="46" t="s">
        <v>31</v>
      </c>
    </row>
    <row r="43" spans="1:21">
      <c r="A43" s="373" t="s">
        <v>1146</v>
      </c>
      <c r="B43" s="412">
        <f>B42/T36</f>
        <v>0.27</v>
      </c>
      <c r="C43" s="46" t="s">
        <v>37</v>
      </c>
      <c r="D43" s="400" t="s">
        <v>2</v>
      </c>
      <c r="E43" s="46" t="s">
        <v>29</v>
      </c>
      <c r="F43" s="32" t="s">
        <v>14</v>
      </c>
      <c r="G43" s="46" t="s">
        <v>33</v>
      </c>
      <c r="H43" s="46">
        <v>1</v>
      </c>
      <c r="I43" s="46">
        <f t="shared" si="3"/>
        <v>0.27</v>
      </c>
      <c r="J43" s="46" t="s">
        <v>31</v>
      </c>
      <c r="K43" s="46" t="s">
        <v>31</v>
      </c>
      <c r="L43" s="46" t="s">
        <v>31</v>
      </c>
      <c r="M43" s="46" t="s">
        <v>31</v>
      </c>
      <c r="O43" s="393" t="s">
        <v>605</v>
      </c>
      <c r="P43" s="406">
        <v>0.05</v>
      </c>
      <c r="Q43" s="46" t="s">
        <v>221</v>
      </c>
      <c r="R43" s="46">
        <f>'[4]Same processes'!B46</f>
        <v>0.25</v>
      </c>
      <c r="S43" s="46" t="s">
        <v>1147</v>
      </c>
    </row>
    <row r="44" spans="1:21" ht="15">
      <c r="A44" s="398" t="s">
        <v>75</v>
      </c>
      <c r="B44" s="342">
        <f>P44</f>
        <v>0.27</v>
      </c>
      <c r="C44" s="46" t="s">
        <v>39</v>
      </c>
      <c r="D44" s="46" t="s">
        <v>40</v>
      </c>
      <c r="E44" s="46" t="s">
        <v>29</v>
      </c>
      <c r="F44" s="32" t="s">
        <v>35</v>
      </c>
      <c r="G44" s="46" t="s">
        <v>33</v>
      </c>
      <c r="H44" s="46">
        <v>2</v>
      </c>
      <c r="I44" s="46">
        <f t="shared" ref="I44" si="4">LN(B44)</f>
        <v>-1.3093333199837622</v>
      </c>
      <c r="J44" s="456">
        <v>7.2284161474004766E-2</v>
      </c>
      <c r="K44" s="46" t="s">
        <v>31</v>
      </c>
      <c r="L44" s="46" t="s">
        <v>31</v>
      </c>
      <c r="M44" s="46" t="s">
        <v>31</v>
      </c>
      <c r="O44" s="393" t="s">
        <v>216</v>
      </c>
      <c r="P44" s="120">
        <v>0.27</v>
      </c>
    </row>
    <row r="45" spans="1:21" ht="15">
      <c r="A45" s="61" t="s">
        <v>547</v>
      </c>
      <c r="B45" s="46">
        <f>R45</f>
        <v>6.0000000000000001E-3</v>
      </c>
      <c r="C45" s="46" t="s">
        <v>37</v>
      </c>
      <c r="D45" s="46" t="s">
        <v>40</v>
      </c>
      <c r="E45" s="46" t="s">
        <v>29</v>
      </c>
      <c r="F45" s="32" t="s">
        <v>58</v>
      </c>
      <c r="G45" s="46" t="s">
        <v>33</v>
      </c>
      <c r="H45" s="46">
        <v>2</v>
      </c>
      <c r="I45" s="46">
        <f>LN(B45)</f>
        <v>-5.1159958097540823</v>
      </c>
      <c r="J45" s="456">
        <v>7.2284161474004766E-2</v>
      </c>
      <c r="K45" s="46" t="s">
        <v>31</v>
      </c>
      <c r="L45" s="46" t="s">
        <v>31</v>
      </c>
      <c r="M45" s="46" t="s">
        <v>31</v>
      </c>
      <c r="O45" s="393" t="s">
        <v>575</v>
      </c>
      <c r="P45" s="120">
        <v>6</v>
      </c>
      <c r="Q45" s="46" t="s">
        <v>221</v>
      </c>
      <c r="R45" s="46">
        <f>P45*0.001</f>
        <v>6.0000000000000001E-3</v>
      </c>
    </row>
    <row r="46" spans="1:21" ht="15">
      <c r="A46" s="61" t="s">
        <v>866</v>
      </c>
      <c r="B46" s="46">
        <f>R46</f>
        <v>1.0999999999999999E-2</v>
      </c>
      <c r="C46" s="46" t="s">
        <v>37</v>
      </c>
      <c r="D46" s="46" t="s">
        <v>40</v>
      </c>
      <c r="E46" s="46" t="s">
        <v>29</v>
      </c>
      <c r="F46" s="32" t="s">
        <v>35</v>
      </c>
      <c r="G46" s="46" t="s">
        <v>33</v>
      </c>
      <c r="H46" s="46">
        <v>2</v>
      </c>
      <c r="I46" s="46">
        <f>LN(B46)</f>
        <v>-4.5098600061837661</v>
      </c>
      <c r="J46" s="456">
        <v>7.2284161474004766E-2</v>
      </c>
      <c r="K46" s="46" t="s">
        <v>31</v>
      </c>
      <c r="L46" s="46" t="s">
        <v>31</v>
      </c>
      <c r="M46" s="46" t="s">
        <v>31</v>
      </c>
      <c r="O46" s="393" t="s">
        <v>575</v>
      </c>
      <c r="P46" s="120">
        <v>11</v>
      </c>
      <c r="Q46" s="46" t="s">
        <v>221</v>
      </c>
      <c r="R46" s="46">
        <f>P46*0.001</f>
        <v>1.0999999999999999E-2</v>
      </c>
    </row>
    <row r="47" spans="1:21" ht="15">
      <c r="A47" s="61" t="s">
        <v>792</v>
      </c>
      <c r="B47" s="46">
        <f>P47</f>
        <v>10.1</v>
      </c>
      <c r="C47" s="46" t="s">
        <v>37</v>
      </c>
      <c r="D47" s="46" t="s">
        <v>40</v>
      </c>
      <c r="E47" s="46" t="s">
        <v>29</v>
      </c>
      <c r="F47" s="32" t="s">
        <v>741</v>
      </c>
      <c r="G47" s="46" t="s">
        <v>33</v>
      </c>
      <c r="H47" s="46">
        <v>2</v>
      </c>
      <c r="I47" s="46">
        <f>LN(B47)</f>
        <v>2.3125354238472138</v>
      </c>
      <c r="J47" s="456">
        <v>7.2284161474004766E-2</v>
      </c>
      <c r="K47" s="46" t="s">
        <v>31</v>
      </c>
      <c r="L47" s="46" t="s">
        <v>31</v>
      </c>
      <c r="M47" s="46" t="s">
        <v>31</v>
      </c>
      <c r="O47" s="393" t="s">
        <v>221</v>
      </c>
      <c r="P47" s="120">
        <v>10.1</v>
      </c>
    </row>
    <row r="48" spans="1:21" ht="15">
      <c r="A48" s="61" t="s">
        <v>226</v>
      </c>
      <c r="B48" s="46">
        <f>R48</f>
        <v>1.01E-2</v>
      </c>
      <c r="C48" s="46" t="s">
        <v>42</v>
      </c>
      <c r="D48" s="46" t="s">
        <v>40</v>
      </c>
      <c r="E48" s="46" t="s">
        <v>29</v>
      </c>
      <c r="F48" s="32" t="s">
        <v>741</v>
      </c>
      <c r="G48" s="46" t="s">
        <v>33</v>
      </c>
      <c r="H48" s="46">
        <v>2</v>
      </c>
      <c r="I48" s="46">
        <f t="shared" ref="I48" si="5">LN(B48)</f>
        <v>-4.595219855134923</v>
      </c>
      <c r="J48" s="456">
        <v>7.2284161474004766E-2</v>
      </c>
      <c r="K48" s="46" t="s">
        <v>31</v>
      </c>
      <c r="L48" s="46" t="s">
        <v>31</v>
      </c>
      <c r="M48" s="46" t="s">
        <v>31</v>
      </c>
      <c r="O48" s="410" t="s">
        <v>858</v>
      </c>
      <c r="P48" s="155">
        <v>10.1</v>
      </c>
      <c r="Q48" s="46" t="s">
        <v>219</v>
      </c>
      <c r="R48" s="46">
        <f>P48/1000</f>
        <v>1.01E-2</v>
      </c>
    </row>
    <row r="49" spans="1:18">
      <c r="A49" s="396" t="s">
        <v>5</v>
      </c>
      <c r="B49" s="363" t="s">
        <v>1148</v>
      </c>
      <c r="C49" s="364"/>
      <c r="D49" s="345"/>
      <c r="E49" s="345"/>
      <c r="F49" s="345"/>
      <c r="G49" s="345"/>
      <c r="H49" s="345"/>
      <c r="I49" s="345"/>
      <c r="J49" s="345"/>
      <c r="K49" s="345"/>
      <c r="L49" s="345"/>
      <c r="M49" s="345"/>
      <c r="N49" s="345"/>
      <c r="O49" s="345"/>
      <c r="P49" s="345"/>
      <c r="Q49" s="345"/>
      <c r="R49" s="345"/>
    </row>
    <row r="50" spans="1:18">
      <c r="A50" s="398" t="s">
        <v>7</v>
      </c>
      <c r="B50" s="46" t="s">
        <v>779</v>
      </c>
      <c r="C50" s="337"/>
    </row>
    <row r="51" spans="1:18">
      <c r="A51" s="398" t="s">
        <v>9</v>
      </c>
      <c r="B51" s="46" t="s">
        <v>1149</v>
      </c>
      <c r="C51" s="337"/>
    </row>
    <row r="52" spans="1:18" ht="10.5" customHeight="1">
      <c r="A52" s="398" t="s">
        <v>11</v>
      </c>
      <c r="B52" s="339" t="s">
        <v>789</v>
      </c>
    </row>
    <row r="53" spans="1:18">
      <c r="A53" s="398" t="s">
        <v>13</v>
      </c>
      <c r="B53" s="46" t="s">
        <v>14</v>
      </c>
    </row>
    <row r="54" spans="1:18">
      <c r="A54" s="398" t="s">
        <v>15</v>
      </c>
      <c r="B54" s="412">
        <f>B59</f>
        <v>1.4E-2</v>
      </c>
    </row>
    <row r="55" spans="1:18">
      <c r="A55" s="398" t="s">
        <v>16</v>
      </c>
      <c r="B55" s="46" t="s">
        <v>17</v>
      </c>
    </row>
    <row r="56" spans="1:18">
      <c r="A56" s="398" t="s">
        <v>18</v>
      </c>
      <c r="B56" s="46" t="s">
        <v>37</v>
      </c>
    </row>
    <row r="57" spans="1:18">
      <c r="A57" s="399" t="s">
        <v>19</v>
      </c>
    </row>
    <row r="58" spans="1:18">
      <c r="A58" s="399" t="s">
        <v>20</v>
      </c>
      <c r="B58" s="336" t="s">
        <v>21</v>
      </c>
      <c r="C58" s="336" t="s">
        <v>18</v>
      </c>
      <c r="D58" s="336" t="s">
        <v>22</v>
      </c>
      <c r="E58" s="336" t="s">
        <v>7</v>
      </c>
      <c r="F58" s="336" t="s">
        <v>13</v>
      </c>
      <c r="G58" s="336" t="s">
        <v>16</v>
      </c>
      <c r="H58" s="336" t="s">
        <v>23</v>
      </c>
      <c r="I58" s="336" t="s">
        <v>24</v>
      </c>
      <c r="J58" s="336" t="s">
        <v>25</v>
      </c>
      <c r="K58" s="336" t="s">
        <v>26</v>
      </c>
      <c r="L58" s="336" t="s">
        <v>27</v>
      </c>
      <c r="M58" s="336" t="s">
        <v>28</v>
      </c>
      <c r="N58" s="336" t="s">
        <v>11</v>
      </c>
    </row>
    <row r="59" spans="1:18">
      <c r="A59" s="373" t="s">
        <v>1148</v>
      </c>
      <c r="B59" s="412">
        <f>P59</f>
        <v>1.4E-2</v>
      </c>
      <c r="C59" s="46" t="s">
        <v>37</v>
      </c>
      <c r="D59" s="400" t="s">
        <v>2</v>
      </c>
      <c r="E59" s="46" t="s">
        <v>29</v>
      </c>
      <c r="F59" s="32" t="s">
        <v>14</v>
      </c>
      <c r="G59" s="46" t="s">
        <v>30</v>
      </c>
      <c r="H59" s="46">
        <v>1</v>
      </c>
      <c r="I59" s="46">
        <f>B59</f>
        <v>1.4E-2</v>
      </c>
      <c r="J59" s="46" t="s">
        <v>31</v>
      </c>
      <c r="K59" s="46" t="s">
        <v>31</v>
      </c>
      <c r="L59" s="46" t="s">
        <v>31</v>
      </c>
      <c r="M59" s="46" t="s">
        <v>31</v>
      </c>
      <c r="O59" s="46" t="s">
        <v>221</v>
      </c>
      <c r="P59" s="454">
        <v>1.4E-2</v>
      </c>
    </row>
    <row r="60" spans="1:18">
      <c r="A60" s="61" t="s">
        <v>869</v>
      </c>
      <c r="B60" s="342">
        <f>R60</f>
        <v>1.4999999999999999E-2</v>
      </c>
      <c r="C60" s="46" t="s">
        <v>37</v>
      </c>
      <c r="D60" s="46" t="s">
        <v>40</v>
      </c>
      <c r="E60" s="46" t="s">
        <v>29</v>
      </c>
      <c r="F60" s="32" t="s">
        <v>58</v>
      </c>
      <c r="G60" s="46" t="s">
        <v>33</v>
      </c>
      <c r="H60" s="46">
        <v>2</v>
      </c>
      <c r="I60" s="46">
        <f>LN(B60)</f>
        <v>-4.1997050778799272</v>
      </c>
      <c r="J60" s="46">
        <v>7.2284161474004766E-2</v>
      </c>
      <c r="K60" s="46" t="s">
        <v>31</v>
      </c>
      <c r="L60" s="46" t="s">
        <v>31</v>
      </c>
      <c r="M60" s="46" t="s">
        <v>31</v>
      </c>
      <c r="O60" s="393" t="s">
        <v>575</v>
      </c>
      <c r="P60" s="406">
        <v>15</v>
      </c>
      <c r="Q60" s="46" t="s">
        <v>221</v>
      </c>
      <c r="R60" s="46">
        <f>P60*0.001</f>
        <v>1.4999999999999999E-2</v>
      </c>
    </row>
    <row r="61" spans="1:18">
      <c r="A61" s="398" t="s">
        <v>75</v>
      </c>
      <c r="B61" s="342">
        <f>P61</f>
        <v>7.0000000000000007E-2</v>
      </c>
      <c r="C61" s="46" t="s">
        <v>39</v>
      </c>
      <c r="D61" s="46" t="s">
        <v>40</v>
      </c>
      <c r="E61" s="46" t="s">
        <v>29</v>
      </c>
      <c r="F61" s="32" t="s">
        <v>35</v>
      </c>
      <c r="G61" s="46" t="s">
        <v>33</v>
      </c>
      <c r="H61" s="46">
        <v>2</v>
      </c>
      <c r="I61" s="46">
        <f t="shared" ref="I61:I62" si="6">LN(B61)</f>
        <v>-2.6592600369327779</v>
      </c>
      <c r="J61" s="46">
        <v>7.2284161474004766E-2</v>
      </c>
      <c r="K61" s="46" t="s">
        <v>31</v>
      </c>
      <c r="L61" s="46" t="s">
        <v>31</v>
      </c>
      <c r="M61" s="46" t="s">
        <v>31</v>
      </c>
      <c r="O61" s="393" t="s">
        <v>216</v>
      </c>
      <c r="P61" s="406">
        <v>7.0000000000000007E-2</v>
      </c>
    </row>
    <row r="62" spans="1:18">
      <c r="A62" s="373" t="s">
        <v>783</v>
      </c>
      <c r="B62" s="46">
        <f>R62</f>
        <v>8.0000000000000004E-4</v>
      </c>
      <c r="C62" s="46" t="s">
        <v>37</v>
      </c>
      <c r="D62" s="400" t="s">
        <v>2</v>
      </c>
      <c r="E62" s="46" t="s">
        <v>29</v>
      </c>
      <c r="F62" s="32" t="s">
        <v>741</v>
      </c>
      <c r="G62" s="46" t="s">
        <v>33</v>
      </c>
      <c r="H62" s="46">
        <v>2</v>
      </c>
      <c r="I62" s="46">
        <f t="shared" si="6"/>
        <v>-7.1308988302963465</v>
      </c>
      <c r="J62" s="46">
        <v>7.2284161474004766E-2</v>
      </c>
      <c r="K62" s="46" t="s">
        <v>31</v>
      </c>
      <c r="L62" s="46" t="s">
        <v>31</v>
      </c>
      <c r="M62" s="46" t="s">
        <v>31</v>
      </c>
      <c r="O62" s="393" t="s">
        <v>575</v>
      </c>
      <c r="P62" s="406">
        <v>0.8</v>
      </c>
      <c r="Q62" s="46" t="s">
        <v>221</v>
      </c>
      <c r="R62" s="46">
        <f>P62*0.001</f>
        <v>8.0000000000000004E-4</v>
      </c>
    </row>
    <row r="63" spans="1:18" s="17" customFormat="1" ht="15.75">
      <c r="A63" s="396" t="s">
        <v>5</v>
      </c>
      <c r="B63" s="363" t="s">
        <v>1146</v>
      </c>
      <c r="C63" s="364"/>
      <c r="D63" s="345"/>
      <c r="E63" s="345"/>
      <c r="F63" s="345"/>
      <c r="G63" s="345"/>
      <c r="H63" s="345"/>
      <c r="I63" s="345"/>
      <c r="J63" s="345"/>
      <c r="K63" s="345"/>
      <c r="L63" s="345"/>
      <c r="M63" s="345"/>
      <c r="N63" s="345"/>
      <c r="O63" s="414"/>
      <c r="P63" s="414"/>
      <c r="Q63" s="414"/>
      <c r="R63" s="414"/>
    </row>
    <row r="64" spans="1:18" s="17" customFormat="1" ht="15.75">
      <c r="A64" s="398" t="s">
        <v>7</v>
      </c>
      <c r="B64" s="46" t="s">
        <v>779</v>
      </c>
      <c r="C64" s="337"/>
      <c r="D64" s="46"/>
      <c r="E64" s="46"/>
      <c r="F64" s="46"/>
      <c r="G64" s="46"/>
      <c r="H64" s="46"/>
      <c r="I64" s="46"/>
      <c r="J64" s="46"/>
      <c r="K64" s="46"/>
      <c r="L64" s="46"/>
      <c r="M64" s="46"/>
      <c r="N64" s="46"/>
    </row>
    <row r="65" spans="1:16" s="17" customFormat="1" ht="15.75">
      <c r="A65" s="398" t="s">
        <v>9</v>
      </c>
      <c r="B65" s="46" t="s">
        <v>1150</v>
      </c>
      <c r="C65" s="337"/>
      <c r="D65" s="46"/>
      <c r="E65" s="46"/>
      <c r="F65" s="46"/>
      <c r="G65" s="46"/>
      <c r="H65" s="46"/>
      <c r="I65" s="46"/>
      <c r="J65" s="46"/>
      <c r="K65" s="46"/>
      <c r="L65" s="46"/>
      <c r="M65" s="46"/>
      <c r="N65" s="46"/>
    </row>
    <row r="66" spans="1:16" s="17" customFormat="1" ht="10.5" customHeight="1">
      <c r="A66" s="398" t="s">
        <v>11</v>
      </c>
      <c r="B66" s="339" t="s">
        <v>789</v>
      </c>
      <c r="C66" s="46"/>
      <c r="D66" s="46"/>
      <c r="E66" s="46"/>
      <c r="F66" s="46"/>
      <c r="G66" s="46"/>
      <c r="H66" s="46"/>
      <c r="I66" s="46"/>
      <c r="J66" s="46"/>
      <c r="K66" s="46"/>
      <c r="L66" s="46"/>
      <c r="M66" s="46"/>
      <c r="N66" s="46"/>
    </row>
    <row r="67" spans="1:16" s="17" customFormat="1" ht="15.75">
      <c r="A67" s="398" t="s">
        <v>13</v>
      </c>
      <c r="B67" s="46" t="s">
        <v>14</v>
      </c>
      <c r="C67" s="46"/>
      <c r="D67" s="46"/>
      <c r="E67" s="46"/>
      <c r="F67" s="46"/>
      <c r="G67" s="46"/>
      <c r="H67" s="46"/>
      <c r="I67" s="46"/>
      <c r="J67" s="46"/>
      <c r="K67" s="46"/>
      <c r="L67" s="46"/>
      <c r="M67" s="46"/>
      <c r="N67" s="46"/>
    </row>
    <row r="68" spans="1:16" s="17" customFormat="1" ht="15.75">
      <c r="A68" s="398" t="s">
        <v>15</v>
      </c>
      <c r="B68" s="350">
        <f>B73</f>
        <v>0.27</v>
      </c>
      <c r="C68" s="46"/>
      <c r="D68" s="46"/>
      <c r="E68" s="46"/>
      <c r="F68" s="46"/>
      <c r="G68" s="46"/>
      <c r="H68" s="46"/>
      <c r="I68" s="46"/>
      <c r="J68" s="46"/>
      <c r="K68" s="46"/>
      <c r="L68" s="46"/>
      <c r="M68" s="46"/>
      <c r="N68" s="46"/>
    </row>
    <row r="69" spans="1:16" s="17" customFormat="1" ht="15.75">
      <c r="A69" s="398" t="s">
        <v>16</v>
      </c>
      <c r="B69" s="46" t="s">
        <v>17</v>
      </c>
      <c r="C69" s="46"/>
      <c r="D69" s="46"/>
      <c r="E69" s="46"/>
      <c r="F69" s="46"/>
      <c r="G69" s="46"/>
      <c r="H69" s="46"/>
      <c r="I69" s="46"/>
      <c r="J69" s="46"/>
      <c r="K69" s="46"/>
      <c r="L69" s="46"/>
      <c r="M69" s="46"/>
      <c r="N69" s="46"/>
    </row>
    <row r="70" spans="1:16" s="17" customFormat="1" ht="15.75">
      <c r="A70" s="398" t="s">
        <v>18</v>
      </c>
      <c r="B70" s="46" t="s">
        <v>37</v>
      </c>
      <c r="C70" s="46"/>
      <c r="D70" s="46"/>
      <c r="E70" s="46"/>
      <c r="F70" s="46"/>
      <c r="G70" s="46"/>
      <c r="H70" s="46"/>
      <c r="I70" s="46"/>
      <c r="J70" s="46"/>
      <c r="K70" s="46"/>
      <c r="L70" s="46"/>
      <c r="M70" s="46"/>
      <c r="N70" s="46"/>
    </row>
    <row r="71" spans="1:16" s="17" customFormat="1" ht="15.75">
      <c r="A71" s="399" t="s">
        <v>19</v>
      </c>
      <c r="B71" s="46"/>
      <c r="C71" s="46"/>
      <c r="D71" s="46"/>
      <c r="E71" s="46"/>
      <c r="F71" s="46"/>
      <c r="G71" s="46"/>
      <c r="H71" s="46"/>
      <c r="I71" s="46"/>
      <c r="J71" s="46"/>
      <c r="K71" s="46"/>
      <c r="L71" s="46"/>
      <c r="M71" s="46"/>
      <c r="N71" s="46"/>
    </row>
    <row r="72" spans="1:16" s="17" customFormat="1" ht="15.75">
      <c r="A72" s="399" t="s">
        <v>20</v>
      </c>
      <c r="B72" s="336" t="s">
        <v>21</v>
      </c>
      <c r="C72" s="336" t="s">
        <v>18</v>
      </c>
      <c r="D72" s="336" t="s">
        <v>22</v>
      </c>
      <c r="E72" s="336" t="s">
        <v>7</v>
      </c>
      <c r="F72" s="336" t="s">
        <v>13</v>
      </c>
      <c r="G72" s="336" t="s">
        <v>16</v>
      </c>
      <c r="H72" s="336" t="s">
        <v>23</v>
      </c>
      <c r="I72" s="336" t="s">
        <v>24</v>
      </c>
      <c r="J72" s="336" t="s">
        <v>25</v>
      </c>
      <c r="K72" s="336" t="s">
        <v>26</v>
      </c>
      <c r="L72" s="336" t="s">
        <v>27</v>
      </c>
      <c r="M72" s="336" t="s">
        <v>28</v>
      </c>
      <c r="N72" s="336" t="s">
        <v>11</v>
      </c>
    </row>
    <row r="73" spans="1:16" s="17" customFormat="1" ht="15.75">
      <c r="A73" s="373" t="s">
        <v>1146</v>
      </c>
      <c r="B73" s="350">
        <v>0.27</v>
      </c>
      <c r="C73" s="46" t="s">
        <v>37</v>
      </c>
      <c r="D73" s="400" t="s">
        <v>2</v>
      </c>
      <c r="E73" s="46" t="s">
        <v>29</v>
      </c>
      <c r="F73" s="32" t="s">
        <v>14</v>
      </c>
      <c r="G73" s="46" t="s">
        <v>30</v>
      </c>
      <c r="H73" s="46">
        <v>1</v>
      </c>
      <c r="I73" s="350">
        <f>B73</f>
        <v>0.27</v>
      </c>
      <c r="J73" s="46" t="s">
        <v>31</v>
      </c>
      <c r="K73" s="46" t="s">
        <v>31</v>
      </c>
      <c r="L73" s="46" t="s">
        <v>31</v>
      </c>
      <c r="M73" s="46" t="s">
        <v>31</v>
      </c>
      <c r="N73" s="46"/>
      <c r="O73" s="44"/>
      <c r="P73" s="415"/>
    </row>
    <row r="74" spans="1:16" s="17" customFormat="1" ht="15.75">
      <c r="A74" s="61" t="s">
        <v>704</v>
      </c>
      <c r="B74" s="342">
        <v>0.27</v>
      </c>
      <c r="C74" s="46" t="s">
        <v>37</v>
      </c>
      <c r="D74" s="46" t="s">
        <v>40</v>
      </c>
      <c r="E74" s="46" t="s">
        <v>29</v>
      </c>
      <c r="F74" s="32" t="s">
        <v>58</v>
      </c>
      <c r="G74" s="46" t="s">
        <v>33</v>
      </c>
      <c r="H74" s="46">
        <v>1</v>
      </c>
      <c r="I74" s="350">
        <f t="shared" ref="I74:I75" si="7">B74</f>
        <v>0.27</v>
      </c>
      <c r="J74" s="46" t="s">
        <v>31</v>
      </c>
      <c r="K74" s="46" t="s">
        <v>31</v>
      </c>
      <c r="L74" s="46" t="s">
        <v>31</v>
      </c>
      <c r="M74" s="46" t="s">
        <v>31</v>
      </c>
      <c r="N74" s="46"/>
      <c r="O74" s="44"/>
      <c r="P74" s="415"/>
    </row>
    <row r="75" spans="1:16" s="17" customFormat="1" ht="15.75">
      <c r="A75" s="61" t="s">
        <v>871</v>
      </c>
      <c r="B75" s="342">
        <v>0.27</v>
      </c>
      <c r="C75" s="46" t="s">
        <v>37</v>
      </c>
      <c r="D75" s="46" t="s">
        <v>40</v>
      </c>
      <c r="E75" s="46" t="s">
        <v>29</v>
      </c>
      <c r="F75" s="32" t="s">
        <v>58</v>
      </c>
      <c r="G75" s="46" t="s">
        <v>33</v>
      </c>
      <c r="H75" s="46">
        <v>1</v>
      </c>
      <c r="I75" s="350">
        <f t="shared" si="7"/>
        <v>0.27</v>
      </c>
      <c r="J75" s="46" t="s">
        <v>31</v>
      </c>
      <c r="K75" s="46" t="s">
        <v>31</v>
      </c>
      <c r="L75" s="46" t="s">
        <v>31</v>
      </c>
      <c r="M75" s="46" t="s">
        <v>31</v>
      </c>
      <c r="N75" s="46"/>
      <c r="O75" s="44"/>
      <c r="P75" s="415"/>
    </row>
    <row r="76" spans="1:16" s="414" customFormat="1" ht="15.75">
      <c r="A76" s="362" t="s">
        <v>5</v>
      </c>
      <c r="B76" s="363" t="s">
        <v>1151</v>
      </c>
      <c r="C76" s="364"/>
      <c r="D76" s="345"/>
      <c r="E76" s="345"/>
      <c r="F76" s="345"/>
      <c r="G76" s="345"/>
      <c r="H76" s="345"/>
      <c r="I76" s="345"/>
      <c r="J76" s="345"/>
      <c r="K76" s="345"/>
      <c r="L76" s="345"/>
      <c r="M76" s="345"/>
      <c r="N76" s="345"/>
    </row>
    <row r="77" spans="1:16" s="17" customFormat="1" ht="15.75">
      <c r="A77" s="338" t="s">
        <v>7</v>
      </c>
      <c r="B77" s="46" t="s">
        <v>779</v>
      </c>
      <c r="C77" s="337"/>
      <c r="D77" s="46"/>
      <c r="E77" s="46"/>
      <c r="F77" s="46"/>
      <c r="G77" s="46"/>
      <c r="H77" s="46"/>
      <c r="I77" s="46"/>
      <c r="J77" s="46"/>
      <c r="K77" s="46"/>
      <c r="L77" s="46"/>
      <c r="M77" s="46"/>
      <c r="N77" s="46"/>
    </row>
    <row r="78" spans="1:16" s="17" customFormat="1" ht="15.75">
      <c r="A78" s="416" t="s">
        <v>9</v>
      </c>
      <c r="B78" s="46" t="s">
        <v>1152</v>
      </c>
      <c r="C78" s="337"/>
      <c r="D78" s="46"/>
      <c r="E78" s="46"/>
      <c r="F78" s="46"/>
      <c r="G78" s="46"/>
      <c r="H78" s="46"/>
      <c r="I78" s="46"/>
      <c r="J78" s="46"/>
      <c r="K78" s="46"/>
      <c r="L78" s="46"/>
      <c r="M78" s="46"/>
      <c r="N78" s="46"/>
    </row>
    <row r="79" spans="1:16" s="17" customFormat="1" ht="15.75" customHeight="1">
      <c r="A79" s="338" t="s">
        <v>11</v>
      </c>
      <c r="B79" s="339" t="s">
        <v>789</v>
      </c>
      <c r="C79" s="46"/>
      <c r="D79" s="46"/>
      <c r="E79" s="46"/>
      <c r="F79" s="46"/>
      <c r="G79" s="46"/>
      <c r="H79" s="46"/>
      <c r="I79" s="46"/>
      <c r="J79" s="46"/>
      <c r="K79" s="46"/>
      <c r="L79" s="46"/>
      <c r="M79" s="46"/>
      <c r="N79" s="46"/>
    </row>
    <row r="80" spans="1:16" s="17" customFormat="1" ht="15.75">
      <c r="A80" s="338" t="s">
        <v>13</v>
      </c>
      <c r="B80" s="46" t="s">
        <v>14</v>
      </c>
      <c r="C80" s="46"/>
      <c r="D80" s="46"/>
      <c r="E80" s="46"/>
      <c r="F80" s="46"/>
      <c r="G80" s="46"/>
      <c r="H80" s="46"/>
      <c r="I80" s="46"/>
      <c r="J80" s="46"/>
      <c r="K80" s="46"/>
      <c r="L80" s="46"/>
      <c r="M80" s="46"/>
      <c r="N80" s="46"/>
    </row>
    <row r="81" spans="1:19" s="17" customFormat="1" ht="15.75">
      <c r="A81" s="338" t="s">
        <v>15</v>
      </c>
      <c r="B81" s="437">
        <f>B86</f>
        <v>2.33</v>
      </c>
      <c r="C81" s="46"/>
      <c r="D81" s="46"/>
      <c r="E81" s="46"/>
      <c r="F81" s="46"/>
      <c r="G81" s="46"/>
      <c r="H81" s="46"/>
      <c r="I81" s="46"/>
      <c r="J81" s="46"/>
      <c r="K81" s="46"/>
      <c r="L81" s="46"/>
      <c r="M81" s="46"/>
      <c r="N81" s="46"/>
    </row>
    <row r="82" spans="1:19" s="17" customFormat="1" ht="15.75">
      <c r="A82" s="338" t="s">
        <v>16</v>
      </c>
      <c r="B82" s="46" t="s">
        <v>17</v>
      </c>
      <c r="C82" s="46"/>
      <c r="D82" s="46"/>
      <c r="E82" s="46"/>
      <c r="F82" s="46"/>
      <c r="G82" s="46"/>
      <c r="H82" s="46"/>
      <c r="I82" s="46"/>
      <c r="J82" s="46"/>
      <c r="K82" s="46"/>
      <c r="L82" s="46"/>
      <c r="M82" s="46"/>
      <c r="N82" s="46"/>
    </row>
    <row r="83" spans="1:19" s="17" customFormat="1" ht="15.75">
      <c r="A83" s="338" t="s">
        <v>18</v>
      </c>
      <c r="B83" s="46" t="s">
        <v>37</v>
      </c>
      <c r="C83" s="46"/>
      <c r="D83" s="46"/>
      <c r="E83" s="46"/>
      <c r="F83" s="46"/>
      <c r="G83" s="46"/>
      <c r="H83" s="46"/>
      <c r="I83" s="46"/>
      <c r="J83" s="46"/>
      <c r="K83" s="46"/>
      <c r="L83" s="46"/>
      <c r="M83" s="46"/>
      <c r="N83" s="46"/>
      <c r="S83" s="418"/>
    </row>
    <row r="84" spans="1:19" s="17" customFormat="1" ht="15.75">
      <c r="A84" s="335" t="s">
        <v>19</v>
      </c>
      <c r="B84" s="46"/>
      <c r="C84" s="46"/>
      <c r="D84" s="46"/>
      <c r="E84" s="46"/>
      <c r="F84" s="46"/>
      <c r="G84" s="46"/>
      <c r="H84" s="46"/>
      <c r="I84" s="46"/>
      <c r="J84" s="46"/>
      <c r="K84" s="46"/>
      <c r="L84" s="46"/>
      <c r="M84" s="46"/>
      <c r="N84" s="46"/>
    </row>
    <row r="85" spans="1:19" s="17" customFormat="1" ht="15.75">
      <c r="A85" s="336" t="s">
        <v>20</v>
      </c>
      <c r="B85" s="336" t="s">
        <v>21</v>
      </c>
      <c r="C85" s="336" t="s">
        <v>18</v>
      </c>
      <c r="D85" s="336" t="s">
        <v>22</v>
      </c>
      <c r="E85" s="336" t="s">
        <v>7</v>
      </c>
      <c r="F85" s="336" t="s">
        <v>13</v>
      </c>
      <c r="G85" s="336" t="s">
        <v>16</v>
      </c>
      <c r="H85" s="336" t="s">
        <v>23</v>
      </c>
      <c r="I85" s="336" t="s">
        <v>24</v>
      </c>
      <c r="J85" s="336" t="s">
        <v>25</v>
      </c>
      <c r="K85" s="336" t="s">
        <v>26</v>
      </c>
      <c r="L85" s="336" t="s">
        <v>27</v>
      </c>
      <c r="M85" s="336" t="s">
        <v>28</v>
      </c>
      <c r="N85" s="336" t="s">
        <v>11</v>
      </c>
    </row>
    <row r="86" spans="1:19" s="17" customFormat="1" ht="15.75">
      <c r="A86" s="46" t="s">
        <v>1151</v>
      </c>
      <c r="B86" s="350">
        <v>2.33</v>
      </c>
      <c r="C86" s="46" t="s">
        <v>37</v>
      </c>
      <c r="D86" s="400" t="s">
        <v>2</v>
      </c>
      <c r="E86" s="46" t="s">
        <v>29</v>
      </c>
      <c r="F86" s="46" t="s">
        <v>14</v>
      </c>
      <c r="G86" s="46" t="s">
        <v>874</v>
      </c>
      <c r="H86" s="46">
        <v>1</v>
      </c>
      <c r="I86" s="350">
        <f>B86</f>
        <v>2.33</v>
      </c>
      <c r="J86" s="46" t="s">
        <v>31</v>
      </c>
      <c r="K86" s="46" t="s">
        <v>31</v>
      </c>
      <c r="L86" s="46" t="s">
        <v>31</v>
      </c>
      <c r="M86" s="46" t="s">
        <v>31</v>
      </c>
      <c r="N86" s="46"/>
      <c r="O86" s="44"/>
      <c r="P86" s="415"/>
    </row>
    <row r="87" spans="1:19" s="17" customFormat="1" ht="15.75">
      <c r="A87" s="47" t="s">
        <v>655</v>
      </c>
      <c r="B87" s="350">
        <v>2.33</v>
      </c>
      <c r="C87" s="46" t="s">
        <v>37</v>
      </c>
      <c r="D87" s="46" t="s">
        <v>40</v>
      </c>
      <c r="E87" s="46" t="s">
        <v>29</v>
      </c>
      <c r="F87" s="32" t="s">
        <v>58</v>
      </c>
      <c r="G87" s="46" t="s">
        <v>33</v>
      </c>
      <c r="H87" s="46">
        <v>1</v>
      </c>
      <c r="I87" s="350">
        <f t="shared" ref="I87:I89" si="8">B87</f>
        <v>2.33</v>
      </c>
      <c r="J87" s="46" t="s">
        <v>31</v>
      </c>
      <c r="K87" s="46" t="s">
        <v>31</v>
      </c>
      <c r="L87" s="46" t="s">
        <v>31</v>
      </c>
      <c r="M87" s="46" t="s">
        <v>31</v>
      </c>
      <c r="N87" s="46"/>
      <c r="O87" s="44"/>
      <c r="P87" s="415"/>
    </row>
    <row r="88" spans="1:19" s="17" customFormat="1" ht="15.75">
      <c r="A88" s="47" t="s">
        <v>624</v>
      </c>
      <c r="B88" s="350">
        <v>2.33</v>
      </c>
      <c r="C88" s="46" t="s">
        <v>37</v>
      </c>
      <c r="D88" s="46" t="s">
        <v>40</v>
      </c>
      <c r="E88" s="46" t="s">
        <v>29</v>
      </c>
      <c r="F88" s="32" t="s">
        <v>58</v>
      </c>
      <c r="G88" s="46" t="s">
        <v>33</v>
      </c>
      <c r="H88" s="46">
        <v>1</v>
      </c>
      <c r="I88" s="350">
        <f t="shared" si="8"/>
        <v>2.33</v>
      </c>
      <c r="J88" s="46" t="s">
        <v>31</v>
      </c>
      <c r="K88" s="46" t="s">
        <v>31</v>
      </c>
      <c r="L88" s="46" t="s">
        <v>31</v>
      </c>
      <c r="M88" s="46" t="s">
        <v>31</v>
      </c>
      <c r="N88" s="46"/>
      <c r="O88" s="44"/>
      <c r="P88" s="415"/>
    </row>
    <row r="89" spans="1:19" s="17" customFormat="1" ht="15.75">
      <c r="A89" s="47" t="s">
        <v>875</v>
      </c>
      <c r="B89" s="350">
        <v>2.33</v>
      </c>
      <c r="C89" s="46" t="s">
        <v>37</v>
      </c>
      <c r="D89" s="46" t="s">
        <v>40</v>
      </c>
      <c r="E89" s="46" t="s">
        <v>29</v>
      </c>
      <c r="F89" s="32" t="s">
        <v>35</v>
      </c>
      <c r="G89" s="46" t="s">
        <v>33</v>
      </c>
      <c r="H89" s="46">
        <v>1</v>
      </c>
      <c r="I89" s="350">
        <f t="shared" si="8"/>
        <v>2.33</v>
      </c>
      <c r="J89" s="46" t="s">
        <v>31</v>
      </c>
      <c r="K89" s="46" t="s">
        <v>31</v>
      </c>
      <c r="L89" s="46" t="s">
        <v>31</v>
      </c>
      <c r="M89" s="46" t="s">
        <v>31</v>
      </c>
      <c r="N89" s="46"/>
      <c r="O89" s="44"/>
      <c r="P89" s="415"/>
    </row>
    <row r="90" spans="1:19" s="17" customFormat="1" ht="15.75">
      <c r="A90" s="362" t="s">
        <v>5</v>
      </c>
      <c r="B90" s="363" t="s">
        <v>1136</v>
      </c>
      <c r="C90" s="364"/>
      <c r="D90" s="345"/>
      <c r="E90" s="345"/>
      <c r="F90" s="345"/>
      <c r="G90" s="345"/>
      <c r="H90" s="345"/>
      <c r="I90" s="345"/>
      <c r="J90" s="345"/>
      <c r="K90" s="345"/>
      <c r="L90" s="345"/>
      <c r="M90" s="345"/>
      <c r="N90" s="46"/>
    </row>
    <row r="91" spans="1:19" s="17" customFormat="1" ht="15.75">
      <c r="A91" s="338" t="s">
        <v>7</v>
      </c>
      <c r="B91" s="46" t="s">
        <v>779</v>
      </c>
      <c r="C91" s="337"/>
      <c r="D91" s="46"/>
      <c r="E91" s="46"/>
      <c r="F91" s="46"/>
      <c r="G91" s="46"/>
      <c r="H91" s="46"/>
      <c r="I91" s="46"/>
      <c r="J91" s="46"/>
      <c r="K91" s="46"/>
      <c r="L91" s="46"/>
      <c r="M91" s="46"/>
      <c r="N91" s="46"/>
    </row>
    <row r="92" spans="1:19" s="17" customFormat="1" ht="15.75">
      <c r="A92" s="338" t="s">
        <v>9</v>
      </c>
      <c r="B92" s="373" t="s">
        <v>1153</v>
      </c>
      <c r="C92" s="337"/>
      <c r="D92" s="46"/>
      <c r="E92" s="46"/>
      <c r="F92" s="46"/>
      <c r="G92" s="46"/>
      <c r="H92" s="46"/>
      <c r="I92" s="46"/>
      <c r="J92" s="46"/>
      <c r="K92" s="46"/>
      <c r="L92" s="46"/>
      <c r="M92" s="46"/>
      <c r="N92" s="46"/>
    </row>
    <row r="93" spans="1:19" s="17" customFormat="1" ht="15.75">
      <c r="A93" s="338" t="s">
        <v>11</v>
      </c>
      <c r="B93" s="339" t="s">
        <v>781</v>
      </c>
      <c r="C93" s="46"/>
      <c r="D93" s="46"/>
      <c r="E93" s="46"/>
      <c r="F93" s="46"/>
      <c r="G93" s="46"/>
      <c r="H93" s="46"/>
      <c r="I93" s="46"/>
      <c r="J93" s="46"/>
      <c r="K93" s="46"/>
      <c r="L93" s="46"/>
      <c r="M93" s="46"/>
      <c r="N93" s="46"/>
    </row>
    <row r="94" spans="1:19" s="17" customFormat="1" ht="15.75">
      <c r="A94" s="338" t="s">
        <v>13</v>
      </c>
      <c r="B94" s="32" t="s">
        <v>14</v>
      </c>
      <c r="C94" s="46"/>
      <c r="D94" s="46"/>
      <c r="E94" s="46"/>
      <c r="F94" s="46"/>
      <c r="G94" s="46"/>
      <c r="H94" s="46"/>
      <c r="I94" s="46"/>
      <c r="J94" s="46"/>
      <c r="K94" s="46"/>
      <c r="L94" s="46"/>
      <c r="M94" s="46"/>
      <c r="N94" s="46"/>
    </row>
    <row r="95" spans="1:19" s="17" customFormat="1" ht="15.75">
      <c r="A95" s="338" t="s">
        <v>15</v>
      </c>
      <c r="B95" s="46">
        <f>B100</f>
        <v>2.33</v>
      </c>
      <c r="C95" s="46"/>
      <c r="D95" s="46"/>
      <c r="E95" s="46"/>
      <c r="F95" s="46"/>
      <c r="G95" s="46"/>
      <c r="H95" s="46"/>
      <c r="I95" s="46"/>
      <c r="J95" s="46"/>
      <c r="K95" s="46"/>
      <c r="L95" s="46"/>
      <c r="M95" s="46"/>
      <c r="N95" s="46"/>
    </row>
    <row r="96" spans="1:19" s="17" customFormat="1" ht="15.75">
      <c r="A96" s="338" t="s">
        <v>16</v>
      </c>
      <c r="B96" s="46" t="s">
        <v>17</v>
      </c>
      <c r="C96" s="46"/>
      <c r="D96" s="46"/>
      <c r="E96" s="46"/>
      <c r="F96" s="46"/>
      <c r="G96" s="46"/>
      <c r="H96" s="46"/>
      <c r="I96" s="46"/>
      <c r="J96" s="46"/>
      <c r="K96" s="46"/>
      <c r="L96" s="46"/>
      <c r="M96" s="46"/>
      <c r="N96" s="46"/>
    </row>
    <row r="97" spans="1:14" s="17" customFormat="1" ht="15.75">
      <c r="A97" s="338" t="s">
        <v>18</v>
      </c>
      <c r="B97" s="46" t="s">
        <v>37</v>
      </c>
      <c r="C97" s="46"/>
      <c r="D97" s="46"/>
      <c r="E97" s="46"/>
      <c r="F97" s="46"/>
      <c r="G97" s="46"/>
      <c r="H97" s="46"/>
      <c r="I97" s="46"/>
      <c r="J97" s="46"/>
      <c r="K97" s="46"/>
      <c r="L97" s="46"/>
      <c r="M97" s="46"/>
      <c r="N97" s="46"/>
    </row>
    <row r="98" spans="1:14" s="17" customFormat="1" ht="15.75">
      <c r="A98" s="335" t="s">
        <v>19</v>
      </c>
      <c r="B98" s="46"/>
      <c r="C98" s="46"/>
      <c r="D98" s="46"/>
      <c r="E98" s="46"/>
      <c r="F98" s="46"/>
      <c r="G98" s="46"/>
      <c r="H98" s="46"/>
      <c r="I98" s="46"/>
      <c r="J98" s="46"/>
      <c r="K98" s="46"/>
      <c r="L98" s="46"/>
      <c r="M98" s="46"/>
      <c r="N98" s="46"/>
    </row>
    <row r="99" spans="1:14" s="17" customFormat="1" ht="15.75">
      <c r="A99" s="335" t="s">
        <v>20</v>
      </c>
      <c r="B99" s="336" t="s">
        <v>21</v>
      </c>
      <c r="C99" s="336" t="s">
        <v>18</v>
      </c>
      <c r="D99" s="336" t="s">
        <v>22</v>
      </c>
      <c r="E99" s="336" t="s">
        <v>7</v>
      </c>
      <c r="F99" s="336" t="s">
        <v>13</v>
      </c>
      <c r="G99" s="336" t="s">
        <v>16</v>
      </c>
      <c r="H99" s="336" t="s">
        <v>23</v>
      </c>
      <c r="I99" s="336" t="s">
        <v>24</v>
      </c>
      <c r="J99" s="336" t="s">
        <v>25</v>
      </c>
      <c r="K99" s="336" t="s">
        <v>26</v>
      </c>
      <c r="L99" s="336" t="s">
        <v>27</v>
      </c>
      <c r="M99" s="336" t="s">
        <v>28</v>
      </c>
      <c r="N99" s="336" t="s">
        <v>11</v>
      </c>
    </row>
    <row r="100" spans="1:14" s="17" customFormat="1" ht="15.75">
      <c r="A100" s="363" t="s">
        <v>1136</v>
      </c>
      <c r="B100" s="482">
        <f>B101</f>
        <v>2.33</v>
      </c>
      <c r="C100" s="46" t="s">
        <v>37</v>
      </c>
      <c r="D100" s="46" t="s">
        <v>2</v>
      </c>
      <c r="E100" s="46" t="s">
        <v>29</v>
      </c>
      <c r="F100" s="32" t="s">
        <v>14</v>
      </c>
      <c r="G100" s="46" t="s">
        <v>30</v>
      </c>
      <c r="H100" s="46">
        <v>1</v>
      </c>
      <c r="I100" s="46">
        <f>B100</f>
        <v>2.33</v>
      </c>
      <c r="J100" s="46" t="s">
        <v>31</v>
      </c>
      <c r="K100" s="46" t="s">
        <v>31</v>
      </c>
      <c r="L100" s="46" t="s">
        <v>31</v>
      </c>
      <c r="M100" s="46" t="s">
        <v>31</v>
      </c>
      <c r="N100" s="46"/>
    </row>
    <row r="101" spans="1:14" s="17" customFormat="1" ht="15.75">
      <c r="A101" s="62" t="s">
        <v>1151</v>
      </c>
      <c r="B101" s="482">
        <f>B86</f>
        <v>2.33</v>
      </c>
      <c r="C101" s="46" t="s">
        <v>37</v>
      </c>
      <c r="D101" s="46" t="s">
        <v>2</v>
      </c>
      <c r="E101" s="46" t="s">
        <v>29</v>
      </c>
      <c r="F101" s="32" t="s">
        <v>14</v>
      </c>
      <c r="G101" s="46" t="s">
        <v>33</v>
      </c>
      <c r="H101" s="46">
        <v>1</v>
      </c>
      <c r="I101" s="46">
        <f>B101</f>
        <v>2.33</v>
      </c>
      <c r="J101" s="46" t="s">
        <v>31</v>
      </c>
      <c r="K101" s="46" t="s">
        <v>31</v>
      </c>
      <c r="L101" s="46" t="s">
        <v>31</v>
      </c>
      <c r="M101" s="46" t="s">
        <v>31</v>
      </c>
      <c r="N101" s="46"/>
    </row>
    <row r="102" spans="1:14" s="17" customFormat="1" ht="15.75">
      <c r="A102" s="121" t="s">
        <v>877</v>
      </c>
      <c r="B102" s="46">
        <v>1.7000000000000001E-2</v>
      </c>
      <c r="C102" s="46" t="s">
        <v>37</v>
      </c>
      <c r="D102" s="46" t="s">
        <v>40</v>
      </c>
      <c r="E102" s="46" t="s">
        <v>29</v>
      </c>
      <c r="F102" s="32" t="s">
        <v>128</v>
      </c>
      <c r="G102" s="46" t="s">
        <v>33</v>
      </c>
      <c r="H102" s="46">
        <v>1</v>
      </c>
      <c r="I102" s="46">
        <f t="shared" ref="I102:I104" si="9">B102</f>
        <v>1.7000000000000001E-2</v>
      </c>
      <c r="J102" s="46" t="s">
        <v>31</v>
      </c>
      <c r="K102" s="46" t="s">
        <v>31</v>
      </c>
      <c r="L102" s="46" t="s">
        <v>31</v>
      </c>
      <c r="M102" s="46" t="s">
        <v>31</v>
      </c>
      <c r="N102" s="46"/>
    </row>
    <row r="103" spans="1:14" s="17" customFormat="1" ht="15.75">
      <c r="A103" s="121" t="s">
        <v>878</v>
      </c>
      <c r="B103" s="46">
        <v>0.4</v>
      </c>
      <c r="C103" s="46" t="s">
        <v>113</v>
      </c>
      <c r="D103" s="46" t="s">
        <v>40</v>
      </c>
      <c r="E103" s="46" t="s">
        <v>29</v>
      </c>
      <c r="F103" s="32" t="s">
        <v>58</v>
      </c>
      <c r="G103" s="46" t="s">
        <v>33</v>
      </c>
      <c r="H103" s="46">
        <v>1</v>
      </c>
      <c r="I103" s="46">
        <f t="shared" si="9"/>
        <v>0.4</v>
      </c>
      <c r="J103" s="46" t="s">
        <v>31</v>
      </c>
      <c r="K103" s="46" t="s">
        <v>31</v>
      </c>
      <c r="L103" s="46" t="s">
        <v>31</v>
      </c>
      <c r="M103" s="46" t="s">
        <v>31</v>
      </c>
      <c r="N103" s="46"/>
    </row>
    <row r="104" spans="1:14" s="17" customFormat="1" ht="15.75">
      <c r="A104" s="121" t="s">
        <v>593</v>
      </c>
      <c r="B104" s="46">
        <v>1.7000000000000001E-2</v>
      </c>
      <c r="C104" s="46" t="s">
        <v>37</v>
      </c>
      <c r="D104" s="46" t="s">
        <v>40</v>
      </c>
      <c r="E104" s="46" t="s">
        <v>29</v>
      </c>
      <c r="F104" s="32" t="s">
        <v>58</v>
      </c>
      <c r="G104" s="46" t="s">
        <v>33</v>
      </c>
      <c r="H104" s="46">
        <v>1</v>
      </c>
      <c r="I104" s="46">
        <f t="shared" si="9"/>
        <v>1.7000000000000001E-2</v>
      </c>
      <c r="J104" s="46" t="s">
        <v>31</v>
      </c>
      <c r="K104" s="46" t="s">
        <v>31</v>
      </c>
      <c r="L104" s="46" t="s">
        <v>31</v>
      </c>
      <c r="M104" s="46" t="s">
        <v>31</v>
      </c>
      <c r="N104" s="46"/>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A12D9-9E3A-4425-BF83-55D97CF60040}">
  <sheetPr>
    <tabColor rgb="FFFFFF00"/>
  </sheetPr>
  <dimension ref="A1:U47"/>
  <sheetViews>
    <sheetView topLeftCell="A12" zoomScale="85" zoomScaleNormal="85" workbookViewId="0">
      <selection activeCell="A36" sqref="A36"/>
    </sheetView>
  </sheetViews>
  <sheetFormatPr defaultRowHeight="12.75"/>
  <cols>
    <col min="1" max="1" width="68.7109375" style="46" bestFit="1" customWidth="1"/>
    <col min="2" max="2" width="13.5703125" style="46" customWidth="1"/>
    <col min="3" max="3" width="9.140625" style="46"/>
    <col min="4" max="4" width="23.42578125" style="46" customWidth="1"/>
    <col min="5" max="6" width="9.140625" style="46"/>
    <col min="7" max="7" width="12.7109375" style="46" customWidth="1"/>
    <col min="8" max="16384" width="9.140625" style="46"/>
  </cols>
  <sheetData>
    <row r="1" spans="1:21">
      <c r="A1" s="46" t="s">
        <v>0</v>
      </c>
      <c r="B1" s="46">
        <v>13</v>
      </c>
    </row>
    <row r="2" spans="1:21" s="345" customFormat="1">
      <c r="A2" s="362" t="s">
        <v>5</v>
      </c>
      <c r="B2" s="363" t="s">
        <v>1135</v>
      </c>
    </row>
    <row r="3" spans="1:21">
      <c r="A3" s="338" t="s">
        <v>7</v>
      </c>
      <c r="B3" s="46" t="s">
        <v>779</v>
      </c>
      <c r="C3" s="337"/>
    </row>
    <row r="4" spans="1:21">
      <c r="A4" s="416" t="s">
        <v>9</v>
      </c>
      <c r="B4" s="46" t="s">
        <v>1154</v>
      </c>
      <c r="C4" s="337"/>
    </row>
    <row r="5" spans="1:21" ht="15.75" customHeight="1">
      <c r="A5" s="338" t="s">
        <v>11</v>
      </c>
      <c r="B5" s="339" t="s">
        <v>789</v>
      </c>
    </row>
    <row r="6" spans="1:21">
      <c r="A6" s="338" t="s">
        <v>13</v>
      </c>
      <c r="B6" s="46" t="s">
        <v>14</v>
      </c>
    </row>
    <row r="7" spans="1:21">
      <c r="A7" s="338" t="s">
        <v>15</v>
      </c>
      <c r="B7" s="407">
        <f>B12</f>
        <v>7.0000000000000007E-2</v>
      </c>
      <c r="R7" s="336" t="s">
        <v>880</v>
      </c>
    </row>
    <row r="8" spans="1:21">
      <c r="A8" s="338" t="s">
        <v>16</v>
      </c>
      <c r="B8" s="46" t="s">
        <v>17</v>
      </c>
      <c r="R8" s="46" t="s">
        <v>881</v>
      </c>
      <c r="S8" s="46">
        <v>8900</v>
      </c>
      <c r="T8" s="46" t="s">
        <v>882</v>
      </c>
    </row>
    <row r="9" spans="1:21">
      <c r="A9" s="338" t="s">
        <v>18</v>
      </c>
      <c r="B9" s="46" t="s">
        <v>37</v>
      </c>
      <c r="R9" s="46" t="s">
        <v>883</v>
      </c>
      <c r="S9" s="46">
        <f>5*10^-6</f>
        <v>4.9999999999999996E-6</v>
      </c>
      <c r="T9" s="46" t="s">
        <v>884</v>
      </c>
    </row>
    <row r="10" spans="1:21">
      <c r="A10" s="335" t="s">
        <v>19</v>
      </c>
      <c r="R10" s="419" t="s">
        <v>885</v>
      </c>
      <c r="S10" s="420">
        <f>S9*S8</f>
        <v>4.4499999999999998E-2</v>
      </c>
      <c r="T10" s="421" t="s">
        <v>886</v>
      </c>
    </row>
    <row r="11" spans="1:21">
      <c r="A11" s="336"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row>
    <row r="12" spans="1:21">
      <c r="A12" s="46" t="s">
        <v>1135</v>
      </c>
      <c r="B12" s="453">
        <v>7.0000000000000007E-2</v>
      </c>
      <c r="C12" s="46" t="s">
        <v>37</v>
      </c>
      <c r="D12" s="400" t="s">
        <v>2</v>
      </c>
      <c r="E12" s="46" t="s">
        <v>29</v>
      </c>
      <c r="F12" s="46" t="s">
        <v>14</v>
      </c>
      <c r="G12" s="46" t="s">
        <v>30</v>
      </c>
      <c r="H12" s="46">
        <v>1</v>
      </c>
      <c r="I12" s="407">
        <f>B12</f>
        <v>7.0000000000000007E-2</v>
      </c>
      <c r="J12" s="46" t="s">
        <v>31</v>
      </c>
      <c r="K12" s="46" t="s">
        <v>31</v>
      </c>
      <c r="L12" s="46" t="s">
        <v>31</v>
      </c>
      <c r="M12" s="46" t="s">
        <v>31</v>
      </c>
      <c r="O12" s="46" t="s">
        <v>1001</v>
      </c>
      <c r="P12" s="442" t="s">
        <v>202</v>
      </c>
      <c r="R12" s="46" t="s">
        <v>548</v>
      </c>
      <c r="U12" s="402"/>
    </row>
    <row r="13" spans="1:21">
      <c r="A13" s="46" t="s">
        <v>1155</v>
      </c>
      <c r="B13" s="453">
        <f>B28</f>
        <v>7.0000000000000007E-2</v>
      </c>
      <c r="C13" s="46" t="s">
        <v>113</v>
      </c>
      <c r="D13" s="400" t="s">
        <v>2</v>
      </c>
      <c r="E13" s="46" t="s">
        <v>29</v>
      </c>
      <c r="F13" s="46" t="s">
        <v>14</v>
      </c>
      <c r="G13" s="46" t="s">
        <v>33</v>
      </c>
      <c r="H13" s="46">
        <v>1</v>
      </c>
      <c r="I13" s="407">
        <f t="shared" ref="I13:I14" si="0">B13</f>
        <v>7.0000000000000007E-2</v>
      </c>
      <c r="J13" s="46">
        <v>7.2284161474004766E-2</v>
      </c>
      <c r="K13" s="46" t="s">
        <v>31</v>
      </c>
      <c r="L13" s="46" t="s">
        <v>31</v>
      </c>
      <c r="M13" s="46" t="s">
        <v>31</v>
      </c>
      <c r="O13" s="393" t="s">
        <v>887</v>
      </c>
      <c r="P13" s="454">
        <f>B13*100</f>
        <v>7.0000000000000009</v>
      </c>
      <c r="R13" s="422">
        <v>0.57999999999999996</v>
      </c>
      <c r="S13" s="423" t="s">
        <v>605</v>
      </c>
      <c r="T13" s="422">
        <f>R13*S10</f>
        <v>2.5809999999999996E-2</v>
      </c>
      <c r="U13" s="423" t="s">
        <v>221</v>
      </c>
    </row>
    <row r="14" spans="1:21">
      <c r="A14" s="62" t="s">
        <v>1148</v>
      </c>
      <c r="B14" s="412">
        <f>T13</f>
        <v>2.5809999999999996E-2</v>
      </c>
      <c r="C14" s="46" t="s">
        <v>37</v>
      </c>
      <c r="D14" s="400" t="s">
        <v>2</v>
      </c>
      <c r="E14" s="46" t="s">
        <v>29</v>
      </c>
      <c r="F14" s="32" t="s">
        <v>14</v>
      </c>
      <c r="G14" s="46" t="s">
        <v>33</v>
      </c>
      <c r="H14" s="46">
        <v>1</v>
      </c>
      <c r="I14" s="407">
        <f t="shared" si="0"/>
        <v>2.5809999999999996E-2</v>
      </c>
      <c r="J14" s="46">
        <v>7.2284161474004766E-2</v>
      </c>
      <c r="K14" s="46" t="s">
        <v>31</v>
      </c>
      <c r="L14" s="46" t="s">
        <v>31</v>
      </c>
      <c r="M14" s="46" t="s">
        <v>31</v>
      </c>
      <c r="O14" s="424"/>
      <c r="P14" s="425"/>
    </row>
    <row r="15" spans="1:21" ht="15">
      <c r="A15" s="338" t="s">
        <v>792</v>
      </c>
      <c r="B15" s="46">
        <f>Q15</f>
        <v>4.7</v>
      </c>
      <c r="C15" s="46" t="s">
        <v>37</v>
      </c>
      <c r="D15" s="46" t="s">
        <v>40</v>
      </c>
      <c r="E15" s="46" t="s">
        <v>29</v>
      </c>
      <c r="F15" s="32" t="s">
        <v>741</v>
      </c>
      <c r="G15" s="46" t="s">
        <v>33</v>
      </c>
      <c r="H15" s="46">
        <v>2</v>
      </c>
      <c r="I15" s="46">
        <f t="shared" ref="I15" si="1">LN(B15)</f>
        <v>1.547562508716013</v>
      </c>
      <c r="J15" s="46">
        <v>7.2284161474004766E-2</v>
      </c>
      <c r="K15" s="46" t="s">
        <v>31</v>
      </c>
      <c r="L15" s="46" t="s">
        <v>31</v>
      </c>
      <c r="M15" s="46" t="s">
        <v>31</v>
      </c>
      <c r="O15" s="393" t="s">
        <v>221</v>
      </c>
      <c r="P15" s="120">
        <v>4.7</v>
      </c>
      <c r="Q15" s="46">
        <f>P15</f>
        <v>4.7</v>
      </c>
    </row>
    <row r="16" spans="1:21" ht="15">
      <c r="A16" s="47" t="s">
        <v>869</v>
      </c>
      <c r="B16" s="46">
        <f t="shared" ref="B16:B17" si="2">Q16</f>
        <v>2.0000000000000001E-4</v>
      </c>
      <c r="C16" s="46" t="s">
        <v>37</v>
      </c>
      <c r="D16" s="46" t="s">
        <v>40</v>
      </c>
      <c r="E16" s="46" t="s">
        <v>29</v>
      </c>
      <c r="F16" s="32" t="s">
        <v>58</v>
      </c>
      <c r="G16" s="46" t="s">
        <v>33</v>
      </c>
      <c r="H16" s="46">
        <v>2</v>
      </c>
      <c r="I16" s="46">
        <f>LN(B16)</f>
        <v>-8.5171931914162382</v>
      </c>
      <c r="J16" s="46">
        <v>7.2284161474004766E-2</v>
      </c>
      <c r="K16" s="46" t="s">
        <v>31</v>
      </c>
      <c r="L16" s="46" t="s">
        <v>31</v>
      </c>
      <c r="M16" s="46" t="s">
        <v>31</v>
      </c>
      <c r="O16" s="408" t="s">
        <v>523</v>
      </c>
      <c r="P16" s="168">
        <v>0.2</v>
      </c>
      <c r="Q16" s="46">
        <f>0.001*P16</f>
        <v>2.0000000000000001E-4</v>
      </c>
    </row>
    <row r="17" spans="1:20" ht="15">
      <c r="A17" s="47" t="s">
        <v>226</v>
      </c>
      <c r="B17" s="46">
        <f t="shared" si="2"/>
        <v>4.7000000000000002E-3</v>
      </c>
      <c r="C17" s="46" t="s">
        <v>42</v>
      </c>
      <c r="D17" s="46" t="s">
        <v>40</v>
      </c>
      <c r="E17" s="46" t="s">
        <v>29</v>
      </c>
      <c r="F17" s="32" t="s">
        <v>741</v>
      </c>
      <c r="G17" s="46" t="s">
        <v>33</v>
      </c>
      <c r="H17" s="46">
        <v>2</v>
      </c>
      <c r="I17" s="46">
        <f t="shared" ref="I17" si="3">LN(B17)</f>
        <v>-5.3601927702661243</v>
      </c>
      <c r="J17" s="46">
        <v>7.2284161474004766E-2</v>
      </c>
      <c r="K17" s="46" t="s">
        <v>31</v>
      </c>
      <c r="L17" s="46" t="s">
        <v>31</v>
      </c>
      <c r="M17" s="46" t="s">
        <v>31</v>
      </c>
      <c r="O17" s="410" t="s">
        <v>858</v>
      </c>
      <c r="P17" s="155">
        <v>4.7</v>
      </c>
      <c r="Q17" s="46">
        <f>0.001*P17</f>
        <v>4.7000000000000002E-3</v>
      </c>
    </row>
    <row r="18" spans="1:20" s="345" customFormat="1">
      <c r="A18" s="362" t="s">
        <v>5</v>
      </c>
      <c r="B18" s="363" t="s">
        <v>1155</v>
      </c>
    </row>
    <row r="19" spans="1:20">
      <c r="A19" s="338" t="s">
        <v>7</v>
      </c>
      <c r="B19" s="46" t="s">
        <v>779</v>
      </c>
      <c r="C19" s="337"/>
    </row>
    <row r="20" spans="1:20">
      <c r="A20" s="416" t="s">
        <v>9</v>
      </c>
      <c r="B20" s="46" t="s">
        <v>1156</v>
      </c>
      <c r="C20" s="337"/>
    </row>
    <row r="21" spans="1:20" ht="15.75" customHeight="1">
      <c r="A21" s="338" t="s">
        <v>11</v>
      </c>
      <c r="B21" s="339" t="s">
        <v>789</v>
      </c>
    </row>
    <row r="22" spans="1:20">
      <c r="A22" s="338" t="s">
        <v>13</v>
      </c>
      <c r="B22" s="46" t="s">
        <v>14</v>
      </c>
    </row>
    <row r="23" spans="1:20">
      <c r="A23" s="338" t="s">
        <v>15</v>
      </c>
      <c r="B23" s="407">
        <f>B28</f>
        <v>7.0000000000000007E-2</v>
      </c>
    </row>
    <row r="24" spans="1:20">
      <c r="A24" s="338" t="s">
        <v>16</v>
      </c>
      <c r="B24" s="46" t="s">
        <v>17</v>
      </c>
    </row>
    <row r="25" spans="1:20">
      <c r="A25" s="338" t="s">
        <v>18</v>
      </c>
      <c r="B25" s="46" t="s">
        <v>113</v>
      </c>
    </row>
    <row r="26" spans="1:20">
      <c r="A26" s="335" t="s">
        <v>19</v>
      </c>
    </row>
    <row r="27" spans="1:20">
      <c r="A27" s="336" t="s">
        <v>20</v>
      </c>
      <c r="B27" s="336" t="s">
        <v>21</v>
      </c>
      <c r="C27" s="336" t="s">
        <v>18</v>
      </c>
      <c r="D27" s="336" t="s">
        <v>22</v>
      </c>
      <c r="E27" s="336" t="s">
        <v>7</v>
      </c>
      <c r="F27" s="336" t="s">
        <v>13</v>
      </c>
      <c r="G27" s="336" t="s">
        <v>16</v>
      </c>
      <c r="H27" s="336" t="s">
        <v>23</v>
      </c>
      <c r="I27" s="336" t="s">
        <v>24</v>
      </c>
      <c r="J27" s="336" t="s">
        <v>25</v>
      </c>
      <c r="K27" s="336" t="s">
        <v>26</v>
      </c>
      <c r="L27" s="336" t="s">
        <v>27</v>
      </c>
      <c r="M27" s="336" t="s">
        <v>28</v>
      </c>
      <c r="N27" s="336" t="s">
        <v>11</v>
      </c>
      <c r="T27" s="407"/>
    </row>
    <row r="28" spans="1:20">
      <c r="A28" s="46" t="s">
        <v>1155</v>
      </c>
      <c r="B28" s="407">
        <v>7.0000000000000007E-2</v>
      </c>
      <c r="C28" s="46" t="s">
        <v>113</v>
      </c>
      <c r="D28" s="400" t="s">
        <v>2</v>
      </c>
      <c r="E28" s="46" t="s">
        <v>29</v>
      </c>
      <c r="F28" s="46" t="s">
        <v>14</v>
      </c>
      <c r="G28" s="46" t="s">
        <v>30</v>
      </c>
      <c r="H28" s="46">
        <v>1</v>
      </c>
      <c r="I28" s="407">
        <f t="shared" ref="I28:I29" si="4">B28</f>
        <v>7.0000000000000007E-2</v>
      </c>
      <c r="J28" s="46">
        <v>7.2284161474004766E-2</v>
      </c>
      <c r="K28" s="46" t="s">
        <v>31</v>
      </c>
      <c r="L28" s="46" t="s">
        <v>31</v>
      </c>
      <c r="M28" s="46" t="s">
        <v>31</v>
      </c>
      <c r="O28" s="393" t="s">
        <v>887</v>
      </c>
      <c r="P28" s="406">
        <f>B28*100</f>
        <v>7.0000000000000009</v>
      </c>
    </row>
    <row r="29" spans="1:20">
      <c r="A29" s="46" t="s">
        <v>1157</v>
      </c>
      <c r="B29" s="407">
        <v>7.0000000000000007E-2</v>
      </c>
      <c r="C29" s="46" t="s">
        <v>113</v>
      </c>
      <c r="D29" s="400" t="s">
        <v>2</v>
      </c>
      <c r="E29" s="46" t="s">
        <v>29</v>
      </c>
      <c r="F29" s="46" t="s">
        <v>14</v>
      </c>
      <c r="G29" s="46" t="s">
        <v>33</v>
      </c>
      <c r="H29" s="46">
        <v>1</v>
      </c>
      <c r="I29" s="407">
        <f t="shared" si="4"/>
        <v>7.0000000000000007E-2</v>
      </c>
      <c r="J29" s="46">
        <v>7.2284161474004766E-2</v>
      </c>
      <c r="K29" s="46" t="s">
        <v>31</v>
      </c>
      <c r="L29" s="46" t="s">
        <v>31</v>
      </c>
      <c r="M29" s="46" t="s">
        <v>31</v>
      </c>
    </row>
    <row r="30" spans="1:20" ht="15">
      <c r="A30" s="338" t="s">
        <v>75</v>
      </c>
      <c r="B30" s="342">
        <f>P30</f>
        <v>0.27</v>
      </c>
      <c r="C30" s="46" t="s">
        <v>39</v>
      </c>
      <c r="D30" s="46" t="s">
        <v>40</v>
      </c>
      <c r="E30" s="46" t="s">
        <v>29</v>
      </c>
      <c r="F30" s="32" t="s">
        <v>35</v>
      </c>
      <c r="G30" s="46" t="s">
        <v>33</v>
      </c>
      <c r="H30" s="46">
        <v>2</v>
      </c>
      <c r="I30" s="46">
        <f t="shared" ref="I30:I31" si="5">LN(B30)</f>
        <v>-1.3093333199837622</v>
      </c>
      <c r="J30" s="46">
        <v>7.2284161474004766E-2</v>
      </c>
      <c r="K30" s="46" t="s">
        <v>31</v>
      </c>
      <c r="L30" s="46" t="s">
        <v>31</v>
      </c>
      <c r="M30" s="46" t="s">
        <v>31</v>
      </c>
      <c r="O30" s="393" t="s">
        <v>216</v>
      </c>
      <c r="P30" s="120">
        <v>0.27</v>
      </c>
    </row>
    <row r="31" spans="1:20" ht="15">
      <c r="A31" s="47" t="s">
        <v>547</v>
      </c>
      <c r="B31" s="46">
        <f>R31</f>
        <v>6.0000000000000001E-3</v>
      </c>
      <c r="C31" s="407" t="s">
        <v>37</v>
      </c>
      <c r="D31" s="46" t="s">
        <v>40</v>
      </c>
      <c r="E31" s="46" t="s">
        <v>29</v>
      </c>
      <c r="F31" s="46" t="s">
        <v>58</v>
      </c>
      <c r="G31" s="46" t="s">
        <v>33</v>
      </c>
      <c r="H31" s="46">
        <v>2</v>
      </c>
      <c r="I31" s="46">
        <f t="shared" si="5"/>
        <v>-5.1159958097540823</v>
      </c>
      <c r="J31" s="46">
        <v>7.2284161474004766E-2</v>
      </c>
      <c r="K31" s="46" t="s">
        <v>31</v>
      </c>
      <c r="L31" s="46" t="s">
        <v>31</v>
      </c>
      <c r="M31" s="46" t="s">
        <v>31</v>
      </c>
      <c r="O31" s="393" t="s">
        <v>575</v>
      </c>
      <c r="P31" s="120">
        <v>6</v>
      </c>
      <c r="Q31" s="46" t="s">
        <v>221</v>
      </c>
      <c r="R31" s="46">
        <f>P31*0.001</f>
        <v>6.0000000000000001E-3</v>
      </c>
    </row>
    <row r="32" spans="1:20" ht="15">
      <c r="A32" s="61" t="s">
        <v>866</v>
      </c>
      <c r="B32" s="46">
        <f t="shared" ref="B32:B33" si="6">R32</f>
        <v>1.0999999999999999E-2</v>
      </c>
      <c r="C32" s="46" t="s">
        <v>37</v>
      </c>
      <c r="D32" s="46" t="s">
        <v>40</v>
      </c>
      <c r="E32" s="46" t="s">
        <v>29</v>
      </c>
      <c r="F32" s="32" t="s">
        <v>35</v>
      </c>
      <c r="G32" s="46" t="s">
        <v>33</v>
      </c>
      <c r="H32" s="46">
        <v>2</v>
      </c>
      <c r="I32" s="46">
        <f>LN(B32)</f>
        <v>-4.5098600061837661</v>
      </c>
      <c r="J32" s="46">
        <v>7.2284161474004766E-2</v>
      </c>
      <c r="K32" s="46" t="s">
        <v>31</v>
      </c>
      <c r="L32" s="46" t="s">
        <v>31</v>
      </c>
      <c r="M32" s="46" t="s">
        <v>31</v>
      </c>
      <c r="O32" s="393" t="s">
        <v>575</v>
      </c>
      <c r="P32" s="120">
        <v>11</v>
      </c>
      <c r="Q32" s="46" t="s">
        <v>221</v>
      </c>
      <c r="R32" s="46">
        <f>P32*0.001</f>
        <v>1.0999999999999999E-2</v>
      </c>
    </row>
    <row r="33" spans="1:20" ht="15">
      <c r="A33" s="338" t="s">
        <v>792</v>
      </c>
      <c r="B33" s="46">
        <f t="shared" si="6"/>
        <v>10.1</v>
      </c>
      <c r="C33" s="46" t="s">
        <v>37</v>
      </c>
      <c r="D33" s="46" t="s">
        <v>40</v>
      </c>
      <c r="E33" s="46" t="s">
        <v>29</v>
      </c>
      <c r="F33" s="32" t="s">
        <v>741</v>
      </c>
      <c r="G33" s="46" t="s">
        <v>33</v>
      </c>
      <c r="H33" s="46">
        <v>2</v>
      </c>
      <c r="I33" s="46">
        <f t="shared" ref="I33:I34" si="7">LN(B33)</f>
        <v>2.3125354238472138</v>
      </c>
      <c r="J33" s="46">
        <v>7.2284161474004766E-2</v>
      </c>
      <c r="K33" s="46" t="s">
        <v>31</v>
      </c>
      <c r="L33" s="46" t="s">
        <v>31</v>
      </c>
      <c r="M33" s="46" t="s">
        <v>31</v>
      </c>
      <c r="O33" s="393" t="s">
        <v>221</v>
      </c>
      <c r="P33" s="120">
        <v>10.1</v>
      </c>
      <c r="Q33" s="46" t="s">
        <v>221</v>
      </c>
      <c r="R33" s="46">
        <f>P33</f>
        <v>10.1</v>
      </c>
    </row>
    <row r="34" spans="1:20" ht="15">
      <c r="A34" s="47" t="s">
        <v>226</v>
      </c>
      <c r="B34" s="46">
        <f>R34</f>
        <v>1.01E-2</v>
      </c>
      <c r="C34" s="46" t="s">
        <v>42</v>
      </c>
      <c r="D34" s="46" t="s">
        <v>40</v>
      </c>
      <c r="E34" s="46" t="s">
        <v>29</v>
      </c>
      <c r="F34" s="32" t="s">
        <v>741</v>
      </c>
      <c r="G34" s="46" t="s">
        <v>33</v>
      </c>
      <c r="H34" s="46">
        <v>2</v>
      </c>
      <c r="I34" s="46">
        <f t="shared" si="7"/>
        <v>-4.595219855134923</v>
      </c>
      <c r="J34" s="46">
        <v>7.2284161474004766E-2</v>
      </c>
      <c r="K34" s="46" t="s">
        <v>31</v>
      </c>
      <c r="L34" s="46" t="s">
        <v>31</v>
      </c>
      <c r="M34" s="46" t="s">
        <v>31</v>
      </c>
      <c r="O34" s="410" t="s">
        <v>858</v>
      </c>
      <c r="P34" s="155">
        <v>10.1</v>
      </c>
      <c r="Q34" s="46" t="s">
        <v>219</v>
      </c>
      <c r="R34" s="46">
        <f>0.001*P34</f>
        <v>1.01E-2</v>
      </c>
    </row>
    <row r="35" spans="1:20" s="345" customFormat="1">
      <c r="A35" s="362" t="s">
        <v>5</v>
      </c>
      <c r="B35" s="363" t="s">
        <v>1157</v>
      </c>
    </row>
    <row r="36" spans="1:20">
      <c r="A36" s="338" t="s">
        <v>7</v>
      </c>
      <c r="B36" s="46" t="s">
        <v>779</v>
      </c>
      <c r="C36" s="337"/>
    </row>
    <row r="37" spans="1:20">
      <c r="A37" s="416" t="s">
        <v>9</v>
      </c>
      <c r="B37" s="46" t="s">
        <v>1158</v>
      </c>
      <c r="C37" s="337"/>
    </row>
    <row r="38" spans="1:20" ht="15.75" customHeight="1">
      <c r="A38" s="338" t="s">
        <v>11</v>
      </c>
      <c r="B38" s="339" t="s">
        <v>789</v>
      </c>
    </row>
    <row r="39" spans="1:20">
      <c r="A39" s="338" t="s">
        <v>13</v>
      </c>
      <c r="B39" s="46" t="s">
        <v>14</v>
      </c>
    </row>
    <row r="40" spans="1:20">
      <c r="A40" s="338" t="s">
        <v>15</v>
      </c>
      <c r="B40" s="407">
        <f>B45</f>
        <v>7.0000000000000007E-2</v>
      </c>
    </row>
    <row r="41" spans="1:20">
      <c r="A41" s="338" t="s">
        <v>16</v>
      </c>
      <c r="B41" s="46" t="s">
        <v>17</v>
      </c>
    </row>
    <row r="42" spans="1:20">
      <c r="A42" s="338" t="s">
        <v>18</v>
      </c>
      <c r="B42" s="46" t="s">
        <v>113</v>
      </c>
    </row>
    <row r="43" spans="1:20">
      <c r="A43" s="335" t="s">
        <v>19</v>
      </c>
    </row>
    <row r="44" spans="1:20">
      <c r="A44" s="336" t="s">
        <v>20</v>
      </c>
      <c r="B44" s="336" t="s">
        <v>21</v>
      </c>
      <c r="C44" s="336" t="s">
        <v>18</v>
      </c>
      <c r="D44" s="336" t="s">
        <v>22</v>
      </c>
      <c r="E44" s="336" t="s">
        <v>7</v>
      </c>
      <c r="F44" s="336" t="s">
        <v>13</v>
      </c>
      <c r="G44" s="336" t="s">
        <v>16</v>
      </c>
      <c r="H44" s="336" t="s">
        <v>23</v>
      </c>
      <c r="I44" s="336" t="s">
        <v>24</v>
      </c>
      <c r="J44" s="336" t="s">
        <v>25</v>
      </c>
      <c r="K44" s="336" t="s">
        <v>26</v>
      </c>
      <c r="L44" s="336" t="s">
        <v>27</v>
      </c>
      <c r="M44" s="336" t="s">
        <v>28</v>
      </c>
      <c r="N44" s="336" t="s">
        <v>11</v>
      </c>
      <c r="T44" s="407"/>
    </row>
    <row r="45" spans="1:20">
      <c r="A45" s="46" t="s">
        <v>1157</v>
      </c>
      <c r="B45" s="407">
        <f>B29</f>
        <v>7.0000000000000007E-2</v>
      </c>
      <c r="C45" s="46" t="s">
        <v>113</v>
      </c>
      <c r="D45" s="400" t="s">
        <v>2</v>
      </c>
      <c r="E45" s="46" t="s">
        <v>29</v>
      </c>
      <c r="F45" s="46" t="s">
        <v>14</v>
      </c>
      <c r="G45" s="46" t="s">
        <v>30</v>
      </c>
      <c r="H45" s="46">
        <v>1</v>
      </c>
      <c r="I45" s="407">
        <f t="shared" ref="I45:I47" si="8">B45</f>
        <v>7.0000000000000007E-2</v>
      </c>
      <c r="J45" s="46" t="s">
        <v>31</v>
      </c>
      <c r="K45" s="46" t="s">
        <v>31</v>
      </c>
      <c r="L45" s="46" t="s">
        <v>31</v>
      </c>
      <c r="M45" s="46" t="s">
        <v>31</v>
      </c>
      <c r="Q45" s="46" t="s">
        <v>1001</v>
      </c>
    </row>
    <row r="46" spans="1:20">
      <c r="A46" s="47" t="s">
        <v>892</v>
      </c>
      <c r="B46" s="46">
        <v>0.81</v>
      </c>
      <c r="C46" s="46" t="s">
        <v>37</v>
      </c>
      <c r="D46" s="46" t="s">
        <v>40</v>
      </c>
      <c r="E46" s="46" t="s">
        <v>29</v>
      </c>
      <c r="F46" s="46" t="s">
        <v>128</v>
      </c>
      <c r="G46" s="46" t="s">
        <v>33</v>
      </c>
      <c r="H46" s="46">
        <v>1</v>
      </c>
      <c r="I46" s="407">
        <f t="shared" si="8"/>
        <v>0.81</v>
      </c>
      <c r="J46" s="46" t="s">
        <v>31</v>
      </c>
      <c r="K46" s="46" t="s">
        <v>31</v>
      </c>
      <c r="L46" s="46" t="s">
        <v>31</v>
      </c>
      <c r="M46" s="46" t="s">
        <v>31</v>
      </c>
    </row>
    <row r="47" spans="1:20">
      <c r="A47" s="47" t="s">
        <v>893</v>
      </c>
      <c r="B47" s="46">
        <v>0.81</v>
      </c>
      <c r="C47" s="46" t="s">
        <v>37</v>
      </c>
      <c r="D47" s="46" t="s">
        <v>40</v>
      </c>
      <c r="E47" s="46" t="s">
        <v>29</v>
      </c>
      <c r="F47" s="46" t="s">
        <v>58</v>
      </c>
      <c r="G47" s="46" t="s">
        <v>33</v>
      </c>
      <c r="H47" s="46">
        <v>1</v>
      </c>
      <c r="I47" s="407">
        <f t="shared" si="8"/>
        <v>0.81</v>
      </c>
      <c r="J47" s="46" t="s">
        <v>31</v>
      </c>
      <c r="K47" s="46" t="s">
        <v>31</v>
      </c>
      <c r="L47" s="46" t="s">
        <v>31</v>
      </c>
      <c r="M47" s="46" t="s">
        <v>31</v>
      </c>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1693-8B08-435F-A862-ED5EFE2B65BF}">
  <sheetPr>
    <tabColor rgb="FFFFFF00"/>
  </sheetPr>
  <dimension ref="A1:Y57"/>
  <sheetViews>
    <sheetView topLeftCell="A12" zoomScale="70" zoomScaleNormal="70" workbookViewId="0">
      <selection activeCell="A36" sqref="A36"/>
    </sheetView>
  </sheetViews>
  <sheetFormatPr defaultRowHeight="12.75"/>
  <cols>
    <col min="1" max="1" width="74" style="46" customWidth="1"/>
    <col min="2" max="4" width="9.140625" style="46"/>
    <col min="5" max="5" width="34.28515625" style="46" customWidth="1"/>
    <col min="6" max="6" width="16.7109375" style="46" customWidth="1"/>
    <col min="7" max="7" width="9.140625" style="46"/>
    <col min="8" max="8" width="14.28515625" style="46" customWidth="1"/>
    <col min="9" max="16384" width="9.140625" style="46"/>
  </cols>
  <sheetData>
    <row r="1" spans="1:21">
      <c r="A1" s="46" t="s">
        <v>0</v>
      </c>
      <c r="B1" s="46">
        <v>14</v>
      </c>
      <c r="R1" s="62"/>
      <c r="S1" s="413"/>
    </row>
    <row r="2" spans="1:21" s="345" customFormat="1">
      <c r="A2" s="362" t="s">
        <v>5</v>
      </c>
      <c r="B2" s="363" t="s">
        <v>1137</v>
      </c>
      <c r="C2" s="363"/>
      <c r="R2" s="428"/>
      <c r="S2" s="429"/>
    </row>
    <row r="3" spans="1:21">
      <c r="A3" s="338" t="s">
        <v>7</v>
      </c>
      <c r="B3" s="46" t="s">
        <v>779</v>
      </c>
      <c r="D3" s="337"/>
      <c r="R3" s="62"/>
      <c r="S3" s="413"/>
    </row>
    <row r="4" spans="1:21">
      <c r="A4" s="416" t="s">
        <v>9</v>
      </c>
      <c r="B4" s="46" t="s">
        <v>1159</v>
      </c>
      <c r="D4" s="337"/>
    </row>
    <row r="5" spans="1:21" ht="15.75" customHeight="1">
      <c r="A5" s="338" t="s">
        <v>11</v>
      </c>
      <c r="B5" s="339" t="s">
        <v>789</v>
      </c>
      <c r="C5" s="339"/>
    </row>
    <row r="6" spans="1:21">
      <c r="A6" s="338" t="s">
        <v>13</v>
      </c>
      <c r="B6" s="46" t="s">
        <v>14</v>
      </c>
    </row>
    <row r="7" spans="1:21">
      <c r="A7" s="338" t="s">
        <v>15</v>
      </c>
      <c r="B7" s="350">
        <f>B12</f>
        <v>5.25</v>
      </c>
      <c r="C7" s="350"/>
    </row>
    <row r="8" spans="1:21">
      <c r="A8" s="338" t="s">
        <v>16</v>
      </c>
      <c r="B8" s="46" t="s">
        <v>17</v>
      </c>
    </row>
    <row r="9" spans="1:21">
      <c r="A9" s="338" t="s">
        <v>18</v>
      </c>
      <c r="B9" s="46" t="str">
        <f>D12</f>
        <v>kilogram</v>
      </c>
    </row>
    <row r="10" spans="1:21">
      <c r="A10" s="335" t="s">
        <v>19</v>
      </c>
    </row>
    <row r="11" spans="1:21">
      <c r="A11" s="336" t="s">
        <v>20</v>
      </c>
      <c r="B11" s="336" t="s">
        <v>21</v>
      </c>
      <c r="C11" s="374" t="s">
        <v>198</v>
      </c>
      <c r="D11" s="336" t="s">
        <v>18</v>
      </c>
      <c r="E11" s="336" t="s">
        <v>22</v>
      </c>
      <c r="F11" s="336" t="s">
        <v>7</v>
      </c>
      <c r="G11" s="336" t="s">
        <v>13</v>
      </c>
      <c r="H11" s="336" t="s">
        <v>16</v>
      </c>
      <c r="I11" s="336" t="s">
        <v>23</v>
      </c>
      <c r="J11" s="336" t="s">
        <v>24</v>
      </c>
      <c r="K11" s="336" t="s">
        <v>25</v>
      </c>
      <c r="L11" s="336" t="s">
        <v>26</v>
      </c>
      <c r="M11" s="336" t="s">
        <v>27</v>
      </c>
      <c r="N11" s="336" t="s">
        <v>28</v>
      </c>
      <c r="O11" s="336" t="s">
        <v>11</v>
      </c>
      <c r="U11" s="407"/>
    </row>
    <row r="12" spans="1:21">
      <c r="A12" s="46" t="s">
        <v>1137</v>
      </c>
      <c r="B12" s="350">
        <f>B43</f>
        <v>5.25</v>
      </c>
      <c r="D12" s="46" t="s">
        <v>37</v>
      </c>
      <c r="E12" s="400" t="s">
        <v>2</v>
      </c>
      <c r="F12" s="46" t="s">
        <v>29</v>
      </c>
      <c r="G12" s="46" t="s">
        <v>14</v>
      </c>
      <c r="H12" s="46" t="s">
        <v>30</v>
      </c>
      <c r="I12" s="46">
        <v>1</v>
      </c>
      <c r="J12" s="407">
        <f>B12</f>
        <v>5.25</v>
      </c>
      <c r="K12" s="46" t="s">
        <v>31</v>
      </c>
      <c r="L12" s="46" t="s">
        <v>31</v>
      </c>
      <c r="M12" s="46" t="s">
        <v>31</v>
      </c>
      <c r="N12" s="46" t="s">
        <v>31</v>
      </c>
      <c r="P12" s="62"/>
      <c r="Q12" s="413"/>
    </row>
    <row r="13" spans="1:21">
      <c r="A13" s="46" t="s">
        <v>1160</v>
      </c>
      <c r="B13" s="46">
        <v>1</v>
      </c>
      <c r="D13" s="46" t="s">
        <v>18</v>
      </c>
      <c r="E13" s="400" t="s">
        <v>2</v>
      </c>
      <c r="F13" s="46" t="s">
        <v>29</v>
      </c>
      <c r="G13" s="46" t="s">
        <v>14</v>
      </c>
      <c r="H13" s="46" t="s">
        <v>33</v>
      </c>
      <c r="I13" s="46">
        <v>1</v>
      </c>
      <c r="J13" s="407">
        <f>B13</f>
        <v>1</v>
      </c>
      <c r="K13" s="46" t="s">
        <v>31</v>
      </c>
      <c r="L13" s="46" t="s">
        <v>31</v>
      </c>
      <c r="M13" s="46" t="s">
        <v>31</v>
      </c>
      <c r="N13" s="46" t="s">
        <v>31</v>
      </c>
    </row>
    <row r="14" spans="1:21">
      <c r="A14" s="338" t="s">
        <v>75</v>
      </c>
      <c r="B14" s="342">
        <f>Q14</f>
        <v>0.25</v>
      </c>
      <c r="C14" s="342"/>
      <c r="D14" s="46" t="s">
        <v>39</v>
      </c>
      <c r="E14" s="46" t="s">
        <v>40</v>
      </c>
      <c r="F14" s="46" t="s">
        <v>29</v>
      </c>
      <c r="G14" s="32" t="s">
        <v>35</v>
      </c>
      <c r="H14" s="46" t="s">
        <v>33</v>
      </c>
      <c r="I14" s="46">
        <v>2</v>
      </c>
      <c r="J14" s="46">
        <f t="shared" ref="J14:J18" si="0">LN(B14)</f>
        <v>-1.3862943611198906</v>
      </c>
      <c r="K14" s="456">
        <v>9.6046863561492793E-2</v>
      </c>
      <c r="L14" s="46" t="s">
        <v>31</v>
      </c>
      <c r="M14" s="46" t="s">
        <v>31</v>
      </c>
      <c r="N14" s="46" t="s">
        <v>31</v>
      </c>
      <c r="P14" s="393" t="s">
        <v>216</v>
      </c>
      <c r="Q14" s="406">
        <v>0.25</v>
      </c>
    </row>
    <row r="15" spans="1:21">
      <c r="A15" s="338" t="s">
        <v>75</v>
      </c>
      <c r="B15" s="342">
        <f>Q15</f>
        <v>0.5</v>
      </c>
      <c r="C15" s="342"/>
      <c r="D15" s="46" t="s">
        <v>39</v>
      </c>
      <c r="E15" s="46" t="s">
        <v>40</v>
      </c>
      <c r="F15" s="46" t="s">
        <v>29</v>
      </c>
      <c r="G15" s="32" t="s">
        <v>58</v>
      </c>
      <c r="H15" s="46" t="s">
        <v>33</v>
      </c>
      <c r="I15" s="46">
        <v>2</v>
      </c>
      <c r="J15" s="46">
        <f t="shared" si="0"/>
        <v>-0.69314718055994529</v>
      </c>
      <c r="K15" s="456">
        <v>9.6046863561492793E-2</v>
      </c>
      <c r="L15" s="46" t="s">
        <v>31</v>
      </c>
      <c r="M15" s="46" t="s">
        <v>31</v>
      </c>
      <c r="N15" s="46" t="s">
        <v>31</v>
      </c>
      <c r="P15" s="393" t="s">
        <v>216</v>
      </c>
      <c r="Q15" s="406">
        <v>0.5</v>
      </c>
    </row>
    <row r="16" spans="1:21">
      <c r="A16" s="47" t="s">
        <v>896</v>
      </c>
      <c r="B16" s="46">
        <f>S16</f>
        <v>6.5000000000000002E-2</v>
      </c>
      <c r="D16" s="46" t="s">
        <v>37</v>
      </c>
      <c r="E16" s="46" t="s">
        <v>40</v>
      </c>
      <c r="F16" s="46" t="s">
        <v>29</v>
      </c>
      <c r="G16" s="46" t="s">
        <v>35</v>
      </c>
      <c r="H16" s="46" t="s">
        <v>33</v>
      </c>
      <c r="I16" s="46">
        <v>2</v>
      </c>
      <c r="J16" s="46">
        <f t="shared" si="0"/>
        <v>-2.7333680090865</v>
      </c>
      <c r="K16" s="456">
        <v>9.6046863561492793E-2</v>
      </c>
      <c r="P16" s="393" t="s">
        <v>575</v>
      </c>
      <c r="Q16" s="406">
        <v>65</v>
      </c>
      <c r="R16" s="393" t="s">
        <v>221</v>
      </c>
      <c r="S16" s="406">
        <f>0.001*Q16</f>
        <v>6.5000000000000002E-2</v>
      </c>
    </row>
    <row r="17" spans="1:21">
      <c r="A17" s="47" t="s">
        <v>897</v>
      </c>
      <c r="B17" s="46">
        <f>Q17</f>
        <v>1.2</v>
      </c>
      <c r="D17" s="46" t="s">
        <v>37</v>
      </c>
      <c r="E17" s="46" t="s">
        <v>40</v>
      </c>
      <c r="F17" s="46" t="s">
        <v>29</v>
      </c>
      <c r="G17" s="32" t="s">
        <v>741</v>
      </c>
      <c r="H17" s="46" t="s">
        <v>33</v>
      </c>
      <c r="I17" s="46">
        <v>2</v>
      </c>
      <c r="J17" s="46">
        <f t="shared" si="0"/>
        <v>0.18232155679395459</v>
      </c>
      <c r="K17" s="456">
        <v>9.6046863561492793E-2</v>
      </c>
      <c r="P17" s="393" t="s">
        <v>221</v>
      </c>
      <c r="Q17" s="406">
        <v>1.2</v>
      </c>
    </row>
    <row r="18" spans="1:21">
      <c r="A18" s="47" t="s">
        <v>740</v>
      </c>
      <c r="B18" s="46">
        <f>S18</f>
        <v>6.5000000000000002E-2</v>
      </c>
      <c r="D18" s="46" t="s">
        <v>37</v>
      </c>
      <c r="E18" s="46" t="s">
        <v>40</v>
      </c>
      <c r="F18" s="46" t="s">
        <v>29</v>
      </c>
      <c r="G18" s="32" t="s">
        <v>741</v>
      </c>
      <c r="H18" s="46" t="s">
        <v>33</v>
      </c>
      <c r="I18" s="46">
        <v>2</v>
      </c>
      <c r="J18" s="46">
        <f t="shared" si="0"/>
        <v>-2.7333680090865</v>
      </c>
      <c r="K18" s="456">
        <v>9.6046863561492793E-2</v>
      </c>
      <c r="P18" s="393" t="s">
        <v>575</v>
      </c>
      <c r="Q18" s="411">
        <v>65</v>
      </c>
      <c r="R18" s="393" t="s">
        <v>221</v>
      </c>
      <c r="S18" s="406">
        <f>0.001*Q18</f>
        <v>6.5000000000000002E-2</v>
      </c>
    </row>
    <row r="19" spans="1:21" s="345" customFormat="1">
      <c r="A19" s="362" t="s">
        <v>5</v>
      </c>
      <c r="B19" s="363" t="str">
        <f>A29</f>
        <v>production of machined casing, mass scaled activities, motor traction drive inverter DCAC, PEMFC-bat, Medium-Term</v>
      </c>
      <c r="C19" s="363"/>
    </row>
    <row r="20" spans="1:21">
      <c r="A20" s="338" t="s">
        <v>7</v>
      </c>
      <c r="B20" s="46" t="s">
        <v>779</v>
      </c>
      <c r="D20" s="337"/>
    </row>
    <row r="21" spans="1:21">
      <c r="A21" s="416" t="s">
        <v>9</v>
      </c>
      <c r="B21" s="46" t="s">
        <v>1161</v>
      </c>
      <c r="D21" s="337"/>
    </row>
    <row r="22" spans="1:21" ht="15.75" customHeight="1">
      <c r="A22" s="338" t="s">
        <v>11</v>
      </c>
      <c r="B22" s="339" t="s">
        <v>789</v>
      </c>
      <c r="C22" s="339"/>
    </row>
    <row r="23" spans="1:21">
      <c r="A23" s="338" t="s">
        <v>13</v>
      </c>
      <c r="B23" s="46" t="s">
        <v>14</v>
      </c>
    </row>
    <row r="24" spans="1:21">
      <c r="A24" s="338" t="s">
        <v>15</v>
      </c>
      <c r="B24" s="350">
        <v>1</v>
      </c>
      <c r="C24" s="350"/>
    </row>
    <row r="25" spans="1:21">
      <c r="A25" s="338" t="s">
        <v>16</v>
      </c>
      <c r="B25" s="46" t="s">
        <v>17</v>
      </c>
    </row>
    <row r="26" spans="1:21">
      <c r="A26" s="338" t="s">
        <v>18</v>
      </c>
      <c r="B26" s="46" t="s">
        <v>18</v>
      </c>
    </row>
    <row r="27" spans="1:21">
      <c r="A27" s="335" t="s">
        <v>19</v>
      </c>
    </row>
    <row r="28" spans="1:21">
      <c r="A28" s="336" t="s">
        <v>20</v>
      </c>
      <c r="B28" s="336" t="s">
        <v>21</v>
      </c>
      <c r="C28" s="374" t="s">
        <v>198</v>
      </c>
      <c r="D28" s="336" t="s">
        <v>18</v>
      </c>
      <c r="E28" s="336" t="s">
        <v>22</v>
      </c>
      <c r="F28" s="336" t="s">
        <v>7</v>
      </c>
      <c r="G28" s="336" t="s">
        <v>13</v>
      </c>
      <c r="H28" s="336" t="s">
        <v>16</v>
      </c>
      <c r="I28" s="336" t="s">
        <v>23</v>
      </c>
      <c r="J28" s="336" t="s">
        <v>24</v>
      </c>
      <c r="K28" s="336" t="s">
        <v>25</v>
      </c>
      <c r="L28" s="336" t="s">
        <v>26</v>
      </c>
      <c r="M28" s="336" t="s">
        <v>27</v>
      </c>
      <c r="N28" s="336" t="s">
        <v>28</v>
      </c>
      <c r="O28" s="336" t="s">
        <v>11</v>
      </c>
      <c r="U28" s="407"/>
    </row>
    <row r="29" spans="1:21">
      <c r="A29" s="46" t="s">
        <v>1160</v>
      </c>
      <c r="B29" s="46">
        <v>1</v>
      </c>
      <c r="D29" s="46" t="s">
        <v>18</v>
      </c>
      <c r="E29" s="400" t="s">
        <v>2</v>
      </c>
      <c r="F29" s="46" t="s">
        <v>29</v>
      </c>
      <c r="G29" s="46" t="s">
        <v>14</v>
      </c>
      <c r="H29" s="46" t="s">
        <v>30</v>
      </c>
      <c r="I29" s="46">
        <v>1</v>
      </c>
      <c r="J29" s="407">
        <f>B29</f>
        <v>1</v>
      </c>
      <c r="K29" s="46" t="s">
        <v>31</v>
      </c>
      <c r="L29" s="46" t="s">
        <v>31</v>
      </c>
      <c r="M29" s="46" t="s">
        <v>31</v>
      </c>
      <c r="N29" s="46" t="s">
        <v>31</v>
      </c>
    </row>
    <row r="30" spans="1:21">
      <c r="A30" s="46" t="s">
        <v>1162</v>
      </c>
      <c r="B30" s="46">
        <f>Q30</f>
        <v>3.15</v>
      </c>
      <c r="D30" s="46" t="s">
        <v>37</v>
      </c>
      <c r="E30" s="400" t="s">
        <v>2</v>
      </c>
      <c r="F30" s="46" t="s">
        <v>29</v>
      </c>
      <c r="G30" s="46" t="s">
        <v>14</v>
      </c>
      <c r="H30" s="46" t="s">
        <v>33</v>
      </c>
      <c r="I30" s="46">
        <v>2</v>
      </c>
      <c r="J30" s="46">
        <f>LN(B30)</f>
        <v>1.1474024528375417</v>
      </c>
      <c r="K30" s="46">
        <v>0.10307764064044142</v>
      </c>
      <c r="L30" s="46" t="s">
        <v>31</v>
      </c>
      <c r="M30" s="46" t="s">
        <v>31</v>
      </c>
      <c r="N30" s="46" t="s">
        <v>31</v>
      </c>
      <c r="Q30" s="454">
        <v>3.15</v>
      </c>
    </row>
    <row r="31" spans="1:21" ht="15">
      <c r="A31" s="338" t="s">
        <v>75</v>
      </c>
      <c r="B31" s="342">
        <f>Q31</f>
        <v>0.3</v>
      </c>
      <c r="C31" s="342"/>
      <c r="D31" s="46" t="s">
        <v>39</v>
      </c>
      <c r="E31" s="46" t="s">
        <v>40</v>
      </c>
      <c r="F31" s="46" t="s">
        <v>29</v>
      </c>
      <c r="G31" s="32" t="s">
        <v>58</v>
      </c>
      <c r="H31" s="46" t="s">
        <v>33</v>
      </c>
      <c r="I31" s="46">
        <v>2</v>
      </c>
      <c r="J31" s="46">
        <f t="shared" ref="J31:J37" si="1">LN(B31)</f>
        <v>-1.2039728043259361</v>
      </c>
      <c r="K31" s="46">
        <v>9.6046863561492793E-2</v>
      </c>
      <c r="L31" s="46" t="s">
        <v>31</v>
      </c>
      <c r="M31" s="46" t="s">
        <v>31</v>
      </c>
      <c r="N31" s="46" t="s">
        <v>31</v>
      </c>
      <c r="P31" s="393" t="s">
        <v>216</v>
      </c>
      <c r="Q31" s="120">
        <v>0.3</v>
      </c>
    </row>
    <row r="32" spans="1:21" ht="15">
      <c r="A32" s="47" t="s">
        <v>896</v>
      </c>
      <c r="B32" s="46">
        <f>S32</f>
        <v>7.0000000000000007E-2</v>
      </c>
      <c r="D32" s="46" t="s">
        <v>37</v>
      </c>
      <c r="E32" s="46" t="s">
        <v>40</v>
      </c>
      <c r="F32" s="46" t="s">
        <v>29</v>
      </c>
      <c r="G32" s="46" t="s">
        <v>35</v>
      </c>
      <c r="H32" s="46" t="s">
        <v>33</v>
      </c>
      <c r="I32" s="46">
        <v>2</v>
      </c>
      <c r="J32" s="46">
        <f t="shared" si="1"/>
        <v>-2.6592600369327779</v>
      </c>
      <c r="K32" s="46">
        <v>9.6046863561492793E-2</v>
      </c>
      <c r="L32" s="46" t="s">
        <v>31</v>
      </c>
      <c r="M32" s="46" t="s">
        <v>31</v>
      </c>
      <c r="N32" s="46" t="s">
        <v>31</v>
      </c>
      <c r="P32" s="393" t="s">
        <v>575</v>
      </c>
      <c r="Q32" s="120">
        <v>70</v>
      </c>
      <c r="R32" s="393" t="s">
        <v>221</v>
      </c>
      <c r="S32" s="406">
        <f>0.001*Q32</f>
        <v>7.0000000000000007E-2</v>
      </c>
    </row>
    <row r="33" spans="1:21" ht="15">
      <c r="A33" s="47" t="s">
        <v>897</v>
      </c>
      <c r="B33" s="46">
        <f>Q33</f>
        <v>1.3</v>
      </c>
      <c r="D33" s="46" t="s">
        <v>37</v>
      </c>
      <c r="E33" s="46" t="s">
        <v>40</v>
      </c>
      <c r="F33" s="46" t="s">
        <v>29</v>
      </c>
      <c r="G33" s="32" t="s">
        <v>741</v>
      </c>
      <c r="H33" s="46" t="s">
        <v>33</v>
      </c>
      <c r="I33" s="46">
        <v>2</v>
      </c>
      <c r="J33" s="46">
        <f t="shared" si="1"/>
        <v>0.26236426446749106</v>
      </c>
      <c r="K33" s="46">
        <v>9.6046863561492793E-2</v>
      </c>
      <c r="L33" s="46" t="s">
        <v>31</v>
      </c>
      <c r="M33" s="46" t="s">
        <v>31</v>
      </c>
      <c r="N33" s="46" t="s">
        <v>31</v>
      </c>
      <c r="P33" s="393" t="s">
        <v>221</v>
      </c>
      <c r="Q33" s="120">
        <v>1.3</v>
      </c>
    </row>
    <row r="34" spans="1:21">
      <c r="A34" s="430" t="s">
        <v>247</v>
      </c>
      <c r="B34" s="46">
        <f>S35</f>
        <v>0.26500000000000001</v>
      </c>
      <c r="C34" s="62" t="s">
        <v>248</v>
      </c>
      <c r="D34" s="46" t="s">
        <v>37</v>
      </c>
      <c r="E34" s="46" t="s">
        <v>40</v>
      </c>
      <c r="F34" s="46" t="s">
        <v>29</v>
      </c>
      <c r="G34" s="32" t="s">
        <v>35</v>
      </c>
      <c r="H34" s="46" t="s">
        <v>33</v>
      </c>
      <c r="I34" s="46">
        <v>2</v>
      </c>
      <c r="J34" s="46">
        <f t="shared" si="1"/>
        <v>-1.3280254529959148</v>
      </c>
      <c r="K34" s="46">
        <v>9.6046863561492793E-2</v>
      </c>
      <c r="L34" s="46" t="s">
        <v>31</v>
      </c>
      <c r="M34" s="46" t="s">
        <v>31</v>
      </c>
      <c r="N34" s="46" t="s">
        <v>31</v>
      </c>
      <c r="P34" s="393"/>
      <c r="Q34" s="406"/>
    </row>
    <row r="35" spans="1:21" ht="15">
      <c r="A35" s="62" t="s">
        <v>245</v>
      </c>
      <c r="B35" s="46">
        <f>S35</f>
        <v>0.26500000000000001</v>
      </c>
      <c r="D35" s="46" t="s">
        <v>37</v>
      </c>
      <c r="E35" s="46" t="s">
        <v>40</v>
      </c>
      <c r="F35" s="46" t="s">
        <v>29</v>
      </c>
      <c r="G35" s="46" t="s">
        <v>35</v>
      </c>
      <c r="H35" s="46" t="s">
        <v>33</v>
      </c>
      <c r="I35" s="46">
        <v>2</v>
      </c>
      <c r="J35" s="46">
        <f t="shared" si="1"/>
        <v>-1.3280254529959148</v>
      </c>
      <c r="K35" s="46">
        <v>9.6046863561492793E-2</v>
      </c>
      <c r="L35" s="46" t="s">
        <v>31</v>
      </c>
      <c r="M35" s="46" t="s">
        <v>31</v>
      </c>
      <c r="N35" s="46" t="s">
        <v>31</v>
      </c>
      <c r="P35" s="410" t="s">
        <v>575</v>
      </c>
      <c r="Q35" s="155">
        <v>265</v>
      </c>
      <c r="R35" s="393" t="s">
        <v>221</v>
      </c>
      <c r="S35" s="406">
        <f>0.001*Q35</f>
        <v>0.26500000000000001</v>
      </c>
    </row>
    <row r="36" spans="1:21">
      <c r="A36" s="47" t="s">
        <v>900</v>
      </c>
      <c r="B36" s="46">
        <f t="shared" ref="B36" si="2">S36</f>
        <v>0.26500000000000001</v>
      </c>
      <c r="D36" s="46" t="s">
        <v>37</v>
      </c>
      <c r="E36" s="46" t="s">
        <v>40</v>
      </c>
      <c r="F36" s="46" t="s">
        <v>29</v>
      </c>
      <c r="G36" s="46" t="s">
        <v>58</v>
      </c>
      <c r="H36" s="46" t="s">
        <v>243</v>
      </c>
      <c r="I36" s="46">
        <v>2</v>
      </c>
      <c r="J36" s="46">
        <f t="shared" si="1"/>
        <v>-1.3280254529959148</v>
      </c>
      <c r="K36" s="46">
        <v>9.6046863561492793E-2</v>
      </c>
      <c r="L36" s="46" t="s">
        <v>31</v>
      </c>
      <c r="M36" s="46" t="s">
        <v>31</v>
      </c>
      <c r="N36" s="46" t="s">
        <v>31</v>
      </c>
      <c r="P36" s="410" t="s">
        <v>575</v>
      </c>
      <c r="Q36" s="411">
        <v>265</v>
      </c>
      <c r="R36" s="393" t="s">
        <v>221</v>
      </c>
      <c r="S36" s="406">
        <f t="shared" ref="S36:S37" si="3">0.001*Q36</f>
        <v>0.26500000000000001</v>
      </c>
    </row>
    <row r="37" spans="1:21">
      <c r="A37" s="47" t="s">
        <v>740</v>
      </c>
      <c r="B37" s="46">
        <f>S37</f>
        <v>7.0000000000000007E-2</v>
      </c>
      <c r="D37" s="46" t="s">
        <v>37</v>
      </c>
      <c r="E37" s="46" t="s">
        <v>40</v>
      </c>
      <c r="F37" s="46" t="s">
        <v>29</v>
      </c>
      <c r="G37" s="32" t="s">
        <v>741</v>
      </c>
      <c r="H37" s="46" t="s">
        <v>33</v>
      </c>
      <c r="I37" s="46">
        <v>2</v>
      </c>
      <c r="J37" s="46">
        <f t="shared" si="1"/>
        <v>-2.6592600369327779</v>
      </c>
      <c r="K37" s="46">
        <v>9.6046863561492793E-2</v>
      </c>
      <c r="L37" s="46" t="s">
        <v>31</v>
      </c>
      <c r="M37" s="46" t="s">
        <v>31</v>
      </c>
      <c r="N37" s="46" t="s">
        <v>31</v>
      </c>
      <c r="P37" s="410" t="s">
        <v>575</v>
      </c>
      <c r="Q37" s="411">
        <v>70</v>
      </c>
      <c r="R37" s="393" t="s">
        <v>221</v>
      </c>
      <c r="S37" s="406">
        <f t="shared" si="3"/>
        <v>7.0000000000000007E-2</v>
      </c>
    </row>
    <row r="38" spans="1:21" s="345" customFormat="1">
      <c r="A38" s="362" t="s">
        <v>5</v>
      </c>
      <c r="B38" s="363" t="s">
        <v>1162</v>
      </c>
      <c r="C38" s="363"/>
    </row>
    <row r="39" spans="1:21">
      <c r="A39" s="338" t="s">
        <v>7</v>
      </c>
      <c r="B39" s="46" t="s">
        <v>779</v>
      </c>
      <c r="D39" s="337"/>
    </row>
    <row r="40" spans="1:21">
      <c r="A40" s="416" t="s">
        <v>9</v>
      </c>
      <c r="B40" s="46" t="s">
        <v>1163</v>
      </c>
      <c r="D40" s="337"/>
    </row>
    <row r="41" spans="1:21" ht="15.75" customHeight="1">
      <c r="A41" s="338" t="s">
        <v>11</v>
      </c>
      <c r="B41" s="339" t="s">
        <v>789</v>
      </c>
      <c r="C41" s="339"/>
    </row>
    <row r="42" spans="1:21">
      <c r="A42" s="338" t="s">
        <v>13</v>
      </c>
      <c r="B42" s="46" t="s">
        <v>14</v>
      </c>
    </row>
    <row r="43" spans="1:21">
      <c r="A43" s="338" t="s">
        <v>15</v>
      </c>
      <c r="B43" s="350">
        <f>B48</f>
        <v>5.25</v>
      </c>
      <c r="C43" s="350"/>
    </row>
    <row r="44" spans="1:21">
      <c r="A44" s="338" t="s">
        <v>16</v>
      </c>
      <c r="B44" s="46" t="s">
        <v>17</v>
      </c>
    </row>
    <row r="45" spans="1:21">
      <c r="A45" s="338" t="s">
        <v>18</v>
      </c>
      <c r="B45" s="46" t="s">
        <v>37</v>
      </c>
    </row>
    <row r="46" spans="1:21">
      <c r="A46" s="335" t="s">
        <v>19</v>
      </c>
    </row>
    <row r="47" spans="1:21">
      <c r="A47" s="336" t="s">
        <v>20</v>
      </c>
      <c r="B47" s="336" t="s">
        <v>21</v>
      </c>
      <c r="C47" s="374" t="s">
        <v>198</v>
      </c>
      <c r="D47" s="336" t="s">
        <v>18</v>
      </c>
      <c r="E47" s="336" t="s">
        <v>22</v>
      </c>
      <c r="F47" s="336" t="s">
        <v>7</v>
      </c>
      <c r="G47" s="336" t="s">
        <v>13</v>
      </c>
      <c r="H47" s="336" t="s">
        <v>16</v>
      </c>
      <c r="I47" s="336" t="s">
        <v>23</v>
      </c>
      <c r="J47" s="336" t="s">
        <v>24</v>
      </c>
      <c r="K47" s="336" t="s">
        <v>25</v>
      </c>
      <c r="L47" s="336" t="s">
        <v>26</v>
      </c>
      <c r="M47" s="336" t="s">
        <v>27</v>
      </c>
      <c r="N47" s="336" t="s">
        <v>28</v>
      </c>
      <c r="O47" s="336" t="s">
        <v>11</v>
      </c>
      <c r="U47" s="407"/>
    </row>
    <row r="48" spans="1:21">
      <c r="A48" s="46" t="s">
        <v>1162</v>
      </c>
      <c r="B48" s="46">
        <f>Q48</f>
        <v>5.25</v>
      </c>
      <c r="D48" s="46" t="s">
        <v>37</v>
      </c>
      <c r="E48" s="400" t="s">
        <v>2</v>
      </c>
      <c r="F48" s="46" t="s">
        <v>29</v>
      </c>
      <c r="G48" s="46" t="s">
        <v>14</v>
      </c>
      <c r="H48" s="46" t="s">
        <v>30</v>
      </c>
      <c r="I48" s="46">
        <v>2</v>
      </c>
      <c r="J48" s="46">
        <f>LN(B48)</f>
        <v>1.6582280766035324</v>
      </c>
      <c r="K48" s="46">
        <v>0.10307764064044142</v>
      </c>
      <c r="L48" s="46" t="s">
        <v>31</v>
      </c>
      <c r="M48" s="46" t="s">
        <v>31</v>
      </c>
      <c r="N48" s="46" t="s">
        <v>31</v>
      </c>
      <c r="Q48" s="457">
        <v>5.25</v>
      </c>
    </row>
    <row r="49" spans="1:25">
      <c r="A49" s="47" t="s">
        <v>900</v>
      </c>
      <c r="B49" s="46">
        <f>Q49</f>
        <v>5.57</v>
      </c>
      <c r="D49" s="46" t="s">
        <v>37</v>
      </c>
      <c r="E49" s="46" t="s">
        <v>40</v>
      </c>
      <c r="F49" s="46" t="s">
        <v>29</v>
      </c>
      <c r="G49" s="46" t="s">
        <v>58</v>
      </c>
      <c r="H49" s="46" t="s">
        <v>33</v>
      </c>
      <c r="I49" s="46">
        <v>2</v>
      </c>
      <c r="J49" s="46">
        <f t="shared" ref="J49:J57" si="4">LN(B49)</f>
        <v>1.7173950539391927</v>
      </c>
      <c r="K49" s="46">
        <v>4.9999999999998969E-3</v>
      </c>
      <c r="L49" s="46" t="s">
        <v>31</v>
      </c>
      <c r="M49" s="46" t="s">
        <v>31</v>
      </c>
      <c r="N49" s="46" t="s">
        <v>31</v>
      </c>
      <c r="P49" s="393" t="s">
        <v>221</v>
      </c>
      <c r="Q49" s="406">
        <v>5.57</v>
      </c>
    </row>
    <row r="50" spans="1:25">
      <c r="A50" s="26" t="s">
        <v>77</v>
      </c>
      <c r="B50" s="46">
        <f>S50</f>
        <v>1.4804177545691908</v>
      </c>
      <c r="D50" s="46" t="s">
        <v>42</v>
      </c>
      <c r="E50" s="46" t="s">
        <v>40</v>
      </c>
      <c r="F50" s="46" t="s">
        <v>29</v>
      </c>
      <c r="G50" s="46" t="s">
        <v>217</v>
      </c>
      <c r="H50" s="46" t="s">
        <v>33</v>
      </c>
      <c r="I50" s="46">
        <v>2</v>
      </c>
      <c r="J50" s="46">
        <f t="shared" si="4"/>
        <v>0.3923243145471062</v>
      </c>
      <c r="K50" s="46">
        <v>4.9999999999998969E-3</v>
      </c>
      <c r="L50" s="46" t="s">
        <v>31</v>
      </c>
      <c r="M50" s="46" t="s">
        <v>31</v>
      </c>
      <c r="N50" s="46" t="s">
        <v>31</v>
      </c>
      <c r="P50" s="393" t="s">
        <v>218</v>
      </c>
      <c r="Q50" s="406">
        <v>56.7</v>
      </c>
      <c r="R50" s="46" t="s">
        <v>219</v>
      </c>
      <c r="S50" s="46">
        <f>Q50/38.3</f>
        <v>1.4804177545691908</v>
      </c>
      <c r="T50" s="458"/>
      <c r="U50" s="459"/>
      <c r="V50" s="459"/>
      <c r="W50" s="459"/>
      <c r="X50" s="459"/>
      <c r="Y50" s="459"/>
    </row>
    <row r="51" spans="1:25">
      <c r="A51" s="338" t="s">
        <v>75</v>
      </c>
      <c r="B51" s="342">
        <f>Q51</f>
        <v>13.7</v>
      </c>
      <c r="C51" s="342"/>
      <c r="D51" s="46" t="s">
        <v>39</v>
      </c>
      <c r="E51" s="46" t="s">
        <v>40</v>
      </c>
      <c r="F51" s="46" t="s">
        <v>29</v>
      </c>
      <c r="G51" s="32" t="s">
        <v>58</v>
      </c>
      <c r="H51" s="46" t="s">
        <v>33</v>
      </c>
      <c r="I51" s="46">
        <v>2</v>
      </c>
      <c r="J51" s="46">
        <f t="shared" si="4"/>
        <v>2.6173958328340792</v>
      </c>
      <c r="K51" s="46">
        <v>4.9999999999998969E-3</v>
      </c>
      <c r="L51" s="46" t="s">
        <v>31</v>
      </c>
      <c r="M51" s="46" t="s">
        <v>31</v>
      </c>
      <c r="N51" s="46" t="s">
        <v>31</v>
      </c>
      <c r="P51" s="393" t="s">
        <v>216</v>
      </c>
      <c r="Q51" s="406">
        <v>13.7</v>
      </c>
    </row>
    <row r="52" spans="1:25">
      <c r="A52" s="47" t="s">
        <v>902</v>
      </c>
      <c r="B52" s="46">
        <f>S52</f>
        <v>0.11</v>
      </c>
      <c r="D52" s="46" t="s">
        <v>37</v>
      </c>
      <c r="E52" s="46" t="s">
        <v>40</v>
      </c>
      <c r="F52" s="46" t="s">
        <v>29</v>
      </c>
      <c r="G52" s="46" t="s">
        <v>35</v>
      </c>
      <c r="H52" s="46" t="s">
        <v>33</v>
      </c>
      <c r="I52" s="46">
        <v>2</v>
      </c>
      <c r="J52" s="46">
        <f t="shared" si="4"/>
        <v>-2.2072749131897207</v>
      </c>
      <c r="K52" s="46">
        <v>0.10049875621120885</v>
      </c>
      <c r="L52" s="46" t="s">
        <v>31</v>
      </c>
      <c r="M52" s="46" t="s">
        <v>31</v>
      </c>
      <c r="N52" s="46" t="s">
        <v>31</v>
      </c>
      <c r="P52" s="393" t="s">
        <v>575</v>
      </c>
      <c r="Q52" s="406">
        <v>110</v>
      </c>
      <c r="R52" s="393" t="s">
        <v>221</v>
      </c>
      <c r="S52" s="406">
        <f t="shared" ref="S52:S54" si="5">0.001*Q52</f>
        <v>0.11</v>
      </c>
    </row>
    <row r="53" spans="1:25">
      <c r="A53" s="47" t="s">
        <v>903</v>
      </c>
      <c r="B53" s="46">
        <f>S53</f>
        <v>2.1000000000000003E-3</v>
      </c>
      <c r="D53" s="46" t="s">
        <v>37</v>
      </c>
      <c r="E53" s="46" t="s">
        <v>43</v>
      </c>
      <c r="F53" s="46" t="s">
        <v>44</v>
      </c>
      <c r="G53" s="46" t="s">
        <v>29</v>
      </c>
      <c r="H53" s="46" t="s">
        <v>45</v>
      </c>
      <c r="I53" s="46">
        <v>2</v>
      </c>
      <c r="J53" s="46">
        <f t="shared" si="4"/>
        <v>-6.1658179342527593</v>
      </c>
      <c r="K53" s="46">
        <v>4.9999999999998969E-3</v>
      </c>
      <c r="L53" s="46" t="s">
        <v>31</v>
      </c>
      <c r="M53" s="46" t="s">
        <v>31</v>
      </c>
      <c r="N53" s="46" t="s">
        <v>31</v>
      </c>
      <c r="P53" s="408" t="s">
        <v>575</v>
      </c>
      <c r="Q53" s="431">
        <v>2.1</v>
      </c>
      <c r="R53" s="393" t="s">
        <v>221</v>
      </c>
      <c r="S53" s="406">
        <f t="shared" si="5"/>
        <v>2.1000000000000003E-3</v>
      </c>
    </row>
    <row r="54" spans="1:25">
      <c r="A54" s="338" t="s">
        <v>760</v>
      </c>
      <c r="B54" s="46">
        <f>S54</f>
        <v>5.3E-3</v>
      </c>
      <c r="D54" s="46" t="s">
        <v>37</v>
      </c>
      <c r="E54" s="46" t="s">
        <v>43</v>
      </c>
      <c r="F54" s="46" t="s">
        <v>44</v>
      </c>
      <c r="G54" s="32" t="s">
        <v>29</v>
      </c>
      <c r="H54" s="46" t="s">
        <v>45</v>
      </c>
      <c r="I54" s="46">
        <v>2</v>
      </c>
      <c r="J54" s="46">
        <f t="shared" si="4"/>
        <v>-5.2400484584240612</v>
      </c>
      <c r="K54" s="46">
        <v>8.9582364335844641E-2</v>
      </c>
      <c r="L54" s="46" t="s">
        <v>31</v>
      </c>
      <c r="M54" s="46" t="s">
        <v>31</v>
      </c>
      <c r="N54" s="46" t="s">
        <v>31</v>
      </c>
      <c r="P54" s="408" t="s">
        <v>575</v>
      </c>
      <c r="Q54" s="431">
        <v>5.3</v>
      </c>
      <c r="R54" s="393" t="s">
        <v>221</v>
      </c>
      <c r="S54" s="406">
        <f t="shared" si="5"/>
        <v>5.3E-3</v>
      </c>
    </row>
    <row r="55" spans="1:25">
      <c r="A55" s="430" t="s">
        <v>247</v>
      </c>
      <c r="B55" s="46">
        <f>Q56</f>
        <v>0.32</v>
      </c>
      <c r="C55" s="62" t="s">
        <v>248</v>
      </c>
      <c r="D55" s="46" t="s">
        <v>37</v>
      </c>
      <c r="E55" s="46" t="s">
        <v>40</v>
      </c>
      <c r="F55" s="46" t="s">
        <v>29</v>
      </c>
      <c r="G55" s="32" t="s">
        <v>35</v>
      </c>
      <c r="H55" s="46" t="s">
        <v>33</v>
      </c>
      <c r="I55" s="46">
        <v>2</v>
      </c>
      <c r="J55" s="46">
        <f t="shared" si="4"/>
        <v>-1.1394342831883648</v>
      </c>
      <c r="K55" s="46">
        <v>9.6046863561492793E-2</v>
      </c>
      <c r="L55" s="46" t="s">
        <v>31</v>
      </c>
      <c r="M55" s="46" t="s">
        <v>31</v>
      </c>
      <c r="N55" s="46" t="s">
        <v>31</v>
      </c>
      <c r="P55" s="408"/>
      <c r="Q55" s="431">
        <v>5.3</v>
      </c>
      <c r="R55" s="424"/>
      <c r="S55" s="425"/>
    </row>
    <row r="56" spans="1:25">
      <c r="A56" s="62" t="s">
        <v>245</v>
      </c>
      <c r="B56" s="46">
        <f>Q56</f>
        <v>0.32</v>
      </c>
      <c r="D56" s="46" t="s">
        <v>37</v>
      </c>
      <c r="E56" s="46" t="s">
        <v>40</v>
      </c>
      <c r="F56" s="46" t="s">
        <v>29</v>
      </c>
      <c r="G56" s="46" t="s">
        <v>35</v>
      </c>
      <c r="H56" s="46" t="s">
        <v>33</v>
      </c>
      <c r="I56" s="46">
        <v>2</v>
      </c>
      <c r="J56" s="46">
        <f t="shared" si="4"/>
        <v>-1.1394342831883648</v>
      </c>
      <c r="K56" s="46">
        <v>4.9999999999998969E-3</v>
      </c>
      <c r="L56" s="46" t="s">
        <v>31</v>
      </c>
      <c r="M56" s="46" t="s">
        <v>31</v>
      </c>
      <c r="N56" s="46" t="s">
        <v>31</v>
      </c>
      <c r="P56" s="410" t="s">
        <v>221</v>
      </c>
      <c r="Q56" s="431">
        <v>0.32</v>
      </c>
    </row>
    <row r="57" spans="1:25">
      <c r="A57" s="47" t="s">
        <v>900</v>
      </c>
      <c r="B57" s="46">
        <f>Q56</f>
        <v>0.32</v>
      </c>
      <c r="D57" s="46" t="s">
        <v>37</v>
      </c>
      <c r="E57" s="46" t="s">
        <v>40</v>
      </c>
      <c r="F57" s="46" t="s">
        <v>29</v>
      </c>
      <c r="G57" s="46" t="s">
        <v>58</v>
      </c>
      <c r="H57" s="46" t="s">
        <v>243</v>
      </c>
      <c r="I57" s="46">
        <v>2</v>
      </c>
      <c r="J57" s="46">
        <f t="shared" si="4"/>
        <v>-1.1394342831883648</v>
      </c>
      <c r="K57" s="46">
        <v>4.9999999999998969E-3</v>
      </c>
      <c r="L57" s="46" t="s">
        <v>31</v>
      </c>
      <c r="M57" s="46" t="s">
        <v>31</v>
      </c>
      <c r="N57" s="46" t="s">
        <v>31</v>
      </c>
      <c r="Q57" s="411">
        <v>0.19</v>
      </c>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B8D2B-2644-4629-8D2E-9E27EF33028B}">
  <sheetPr>
    <tabColor rgb="FFFFFF00"/>
  </sheetPr>
  <dimension ref="A1:U363"/>
  <sheetViews>
    <sheetView zoomScale="70" zoomScaleNormal="70" workbookViewId="0">
      <selection activeCell="A76" sqref="A76"/>
    </sheetView>
  </sheetViews>
  <sheetFormatPr defaultRowHeight="15"/>
  <cols>
    <col min="1" max="1" width="85.7109375" customWidth="1"/>
    <col min="2" max="2" width="15.28515625" customWidth="1"/>
    <col min="3" max="3" width="14.28515625" customWidth="1"/>
    <col min="4" max="4" width="35.7109375" customWidth="1"/>
    <col min="7" max="7" width="15.5703125" customWidth="1"/>
    <col min="18" max="18" width="10.28515625" bestFit="1"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62" t="s">
        <v>5</v>
      </c>
      <c r="B2" s="363" t="s">
        <v>1133</v>
      </c>
      <c r="C2" s="364"/>
      <c r="D2" s="345"/>
      <c r="E2" s="345"/>
      <c r="F2" s="345"/>
      <c r="G2" s="345"/>
      <c r="H2" s="345"/>
      <c r="I2" s="345"/>
      <c r="J2" s="345"/>
      <c r="K2" s="345"/>
      <c r="L2" s="345"/>
      <c r="M2" s="345"/>
      <c r="N2" s="46"/>
      <c r="O2" s="46"/>
      <c r="P2" s="46"/>
      <c r="Q2" s="46"/>
      <c r="R2" s="46"/>
      <c r="S2" s="46"/>
      <c r="T2" s="46"/>
      <c r="U2" s="46"/>
    </row>
    <row r="3" spans="1:21">
      <c r="A3" s="338" t="s">
        <v>7</v>
      </c>
      <c r="B3" s="46" t="s">
        <v>779</v>
      </c>
      <c r="C3" s="337"/>
      <c r="D3" s="46"/>
      <c r="E3" s="46"/>
      <c r="F3" s="46"/>
      <c r="G3" s="46"/>
      <c r="H3" s="46"/>
      <c r="I3" s="46"/>
      <c r="J3" s="46"/>
      <c r="K3" s="46"/>
      <c r="L3" s="46"/>
      <c r="M3" s="46"/>
      <c r="N3" s="46"/>
      <c r="O3" s="46"/>
      <c r="P3" s="46"/>
      <c r="Q3" s="46"/>
      <c r="R3" s="46"/>
      <c r="S3" s="46"/>
      <c r="T3" s="46"/>
      <c r="U3" s="46"/>
    </row>
    <row r="4" spans="1:21">
      <c r="A4" s="338" t="s">
        <v>9</v>
      </c>
      <c r="B4" s="46" t="s">
        <v>1164</v>
      </c>
      <c r="C4" s="337"/>
      <c r="D4" s="46"/>
      <c r="E4" s="46"/>
      <c r="F4" s="46"/>
      <c r="G4" s="46"/>
      <c r="H4" s="46"/>
      <c r="I4" s="46"/>
      <c r="J4" s="46"/>
      <c r="K4" s="46"/>
      <c r="L4" s="46"/>
      <c r="M4" s="46"/>
      <c r="N4" s="46"/>
      <c r="O4" s="46"/>
      <c r="P4" s="46"/>
      <c r="Q4" s="46"/>
      <c r="R4" s="46"/>
      <c r="S4" s="46"/>
      <c r="T4" s="46"/>
      <c r="U4" s="46"/>
    </row>
    <row r="5" spans="1:21" ht="16.5" customHeight="1">
      <c r="A5" s="338" t="s">
        <v>11</v>
      </c>
      <c r="B5" s="339" t="s">
        <v>789</v>
      </c>
      <c r="C5" s="46"/>
      <c r="D5" s="46"/>
      <c r="E5" s="46"/>
      <c r="F5" s="46"/>
      <c r="G5" s="46"/>
      <c r="H5" s="46"/>
      <c r="I5" s="46"/>
      <c r="J5" s="46"/>
      <c r="K5" s="46"/>
      <c r="L5" s="46"/>
      <c r="M5" s="46"/>
      <c r="N5" s="46"/>
      <c r="O5" s="46"/>
      <c r="P5" s="46"/>
      <c r="Q5" s="46"/>
      <c r="R5" s="46"/>
      <c r="S5" s="46"/>
      <c r="T5" s="46"/>
      <c r="U5" s="46"/>
    </row>
    <row r="6" spans="1:21">
      <c r="A6" s="338" t="s">
        <v>13</v>
      </c>
      <c r="B6" s="46" t="s">
        <v>14</v>
      </c>
      <c r="C6" s="46"/>
      <c r="D6" s="46"/>
      <c r="E6" s="46"/>
      <c r="F6" s="46"/>
      <c r="G6" s="46"/>
      <c r="H6" s="46"/>
      <c r="I6" s="46"/>
      <c r="J6" s="46"/>
      <c r="K6" s="46"/>
      <c r="L6" s="46"/>
      <c r="M6" s="46"/>
      <c r="N6" s="46"/>
      <c r="O6" s="46"/>
      <c r="P6" s="46"/>
      <c r="Q6" s="46"/>
      <c r="R6" s="46"/>
      <c r="S6" s="46"/>
      <c r="T6" s="46"/>
      <c r="U6" s="46"/>
    </row>
    <row r="7" spans="1:21">
      <c r="A7" s="338" t="s">
        <v>15</v>
      </c>
      <c r="B7" s="46">
        <f>B12</f>
        <v>1.97</v>
      </c>
      <c r="C7" s="46"/>
      <c r="D7" s="46"/>
      <c r="E7" s="46"/>
      <c r="F7" s="46"/>
      <c r="G7" s="46"/>
      <c r="H7" s="46"/>
      <c r="I7" s="46"/>
      <c r="J7" s="46"/>
      <c r="K7" s="46"/>
      <c r="L7" s="46"/>
      <c r="M7" s="46"/>
      <c r="N7" s="46"/>
      <c r="O7" s="46" t="s">
        <v>1008</v>
      </c>
      <c r="P7" s="46"/>
      <c r="Q7" s="46"/>
      <c r="R7" s="46"/>
      <c r="S7" s="46"/>
      <c r="T7" s="46"/>
      <c r="U7" s="46"/>
    </row>
    <row r="8" spans="1:21">
      <c r="A8" s="338" t="s">
        <v>16</v>
      </c>
      <c r="B8" s="46" t="s">
        <v>17</v>
      </c>
      <c r="C8" s="46"/>
      <c r="D8" s="46"/>
      <c r="E8" s="46"/>
      <c r="F8" s="46"/>
      <c r="G8" s="46"/>
      <c r="H8" s="46"/>
      <c r="I8" s="46"/>
      <c r="J8" s="46"/>
      <c r="K8" s="46"/>
      <c r="L8" s="46"/>
      <c r="M8" s="46"/>
      <c r="N8" s="46"/>
      <c r="O8" s="46"/>
      <c r="P8" s="46"/>
      <c r="Q8" s="46"/>
      <c r="R8" s="46"/>
      <c r="S8" s="46"/>
      <c r="T8" s="46"/>
      <c r="U8" s="46"/>
    </row>
    <row r="9" spans="1:21">
      <c r="A9" s="338" t="s">
        <v>18</v>
      </c>
      <c r="B9" s="46" t="s">
        <v>37</v>
      </c>
      <c r="C9" s="46"/>
      <c r="D9" s="46"/>
      <c r="E9" s="46"/>
      <c r="F9" s="46"/>
      <c r="G9" s="46"/>
      <c r="H9" s="46"/>
      <c r="I9" s="46"/>
      <c r="J9" s="46"/>
      <c r="K9" s="46"/>
      <c r="L9" s="46"/>
      <c r="M9" s="46"/>
      <c r="N9" s="46"/>
      <c r="O9" s="46"/>
      <c r="P9" s="46"/>
      <c r="Q9" s="46"/>
      <c r="R9" s="46"/>
      <c r="S9" s="46"/>
      <c r="T9" s="46"/>
      <c r="U9" s="46"/>
    </row>
    <row r="10" spans="1:21">
      <c r="A10" s="335" t="s">
        <v>19</v>
      </c>
      <c r="B10" s="46"/>
      <c r="C10" s="46"/>
      <c r="D10" s="46"/>
      <c r="E10" s="46"/>
      <c r="F10" s="46"/>
      <c r="G10" s="46"/>
      <c r="H10" s="46"/>
      <c r="I10" s="46"/>
      <c r="J10" s="46"/>
      <c r="K10" s="46"/>
      <c r="L10" s="46"/>
      <c r="M10" s="46"/>
      <c r="N10" s="46"/>
      <c r="O10" s="46"/>
      <c r="P10" s="46"/>
      <c r="Q10" s="46"/>
      <c r="R10" s="46"/>
      <c r="S10" s="46"/>
      <c r="T10" s="46"/>
      <c r="U10" s="46"/>
    </row>
    <row r="11" spans="1:21">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c r="O11" s="46"/>
      <c r="P11" s="46"/>
      <c r="Q11" s="46"/>
      <c r="R11" s="46"/>
      <c r="S11" s="46"/>
      <c r="T11" s="46"/>
      <c r="U11" s="46"/>
    </row>
    <row r="12" spans="1:21">
      <c r="A12" s="338" t="s">
        <v>1133</v>
      </c>
      <c r="B12" s="46">
        <f>'2D. MOTOR DRIVE INVERTER'!B16</f>
        <v>1.97</v>
      </c>
      <c r="C12" s="46" t="s">
        <v>37</v>
      </c>
      <c r="D12" s="400" t="s">
        <v>2</v>
      </c>
      <c r="E12" s="46" t="s">
        <v>29</v>
      </c>
      <c r="F12" s="32" t="s">
        <v>14</v>
      </c>
      <c r="G12" s="46" t="s">
        <v>30</v>
      </c>
      <c r="H12" s="46">
        <v>1</v>
      </c>
      <c r="I12" s="46">
        <v>2.8722813232690055E-2</v>
      </c>
      <c r="J12" s="46" t="s">
        <v>31</v>
      </c>
      <c r="K12" s="46" t="s">
        <v>31</v>
      </c>
      <c r="L12" s="46" t="s">
        <v>31</v>
      </c>
      <c r="M12" s="46" t="s">
        <v>31</v>
      </c>
      <c r="N12" s="46"/>
      <c r="O12" s="46"/>
      <c r="P12" s="46"/>
      <c r="Q12" s="46"/>
      <c r="R12" s="46"/>
      <c r="S12" s="46"/>
      <c r="T12" s="46"/>
      <c r="U12" s="46"/>
    </row>
    <row r="13" spans="1:21">
      <c r="A13" s="46" t="s">
        <v>1165</v>
      </c>
      <c r="B13" s="46">
        <v>1</v>
      </c>
      <c r="C13" s="46" t="s">
        <v>18</v>
      </c>
      <c r="D13" s="400" t="s">
        <v>2</v>
      </c>
      <c r="E13" s="46" t="s">
        <v>29</v>
      </c>
      <c r="F13" s="32" t="s">
        <v>14</v>
      </c>
      <c r="G13" s="46" t="s">
        <v>33</v>
      </c>
      <c r="H13" s="46">
        <v>1</v>
      </c>
      <c r="I13" s="407">
        <f>B13</f>
        <v>1</v>
      </c>
      <c r="J13" s="46" t="s">
        <v>31</v>
      </c>
      <c r="K13" s="46" t="s">
        <v>31</v>
      </c>
      <c r="L13" s="46" t="s">
        <v>31</v>
      </c>
      <c r="M13" s="46" t="s">
        <v>31</v>
      </c>
      <c r="N13" s="46"/>
      <c r="O13" s="46"/>
      <c r="P13" s="46"/>
      <c r="Q13" s="46"/>
      <c r="R13" s="46"/>
      <c r="S13" s="46"/>
      <c r="T13" s="46"/>
      <c r="U13" s="46"/>
    </row>
    <row r="14" spans="1:21">
      <c r="A14" s="46" t="s">
        <v>1166</v>
      </c>
      <c r="B14" s="46">
        <v>1</v>
      </c>
      <c r="C14" s="46" t="s">
        <v>18</v>
      </c>
      <c r="D14" s="400" t="s">
        <v>2</v>
      </c>
      <c r="E14" s="46" t="s">
        <v>29</v>
      </c>
      <c r="F14" s="32" t="s">
        <v>14</v>
      </c>
      <c r="G14" s="46" t="s">
        <v>33</v>
      </c>
      <c r="H14" s="46">
        <v>1</v>
      </c>
      <c r="I14" s="407">
        <f>B14</f>
        <v>1</v>
      </c>
      <c r="J14" s="46" t="s">
        <v>31</v>
      </c>
      <c r="K14" s="46" t="s">
        <v>31</v>
      </c>
      <c r="L14" s="46" t="s">
        <v>31</v>
      </c>
      <c r="M14" s="46" t="s">
        <v>31</v>
      </c>
      <c r="N14" s="46"/>
      <c r="O14" s="46"/>
      <c r="P14" s="46"/>
      <c r="Q14" s="46"/>
      <c r="R14" s="46"/>
      <c r="S14" s="46"/>
      <c r="T14" s="46"/>
      <c r="U14" s="46"/>
    </row>
    <row r="15" spans="1:21">
      <c r="A15" s="47" t="s">
        <v>601</v>
      </c>
      <c r="B15" s="384">
        <f>R15</f>
        <v>1.7000000000000001E-4</v>
      </c>
      <c r="C15" s="46" t="s">
        <v>37</v>
      </c>
      <c r="D15" s="46" t="s">
        <v>40</v>
      </c>
      <c r="E15" s="46" t="s">
        <v>29</v>
      </c>
      <c r="F15" s="32" t="s">
        <v>35</v>
      </c>
      <c r="G15" s="46" t="s">
        <v>33</v>
      </c>
      <c r="H15" s="46">
        <v>2</v>
      </c>
      <c r="I15" s="46">
        <f>LN(B15)</f>
        <v>-8.6797121209140116</v>
      </c>
      <c r="J15" s="46">
        <v>2.8722813232690055E-2</v>
      </c>
      <c r="K15" s="46" t="s">
        <v>31</v>
      </c>
      <c r="L15" s="46" t="s">
        <v>31</v>
      </c>
      <c r="M15" s="46" t="s">
        <v>31</v>
      </c>
      <c r="N15" s="46"/>
      <c r="O15" s="375" t="s">
        <v>575</v>
      </c>
      <c r="P15" s="444">
        <v>0.17</v>
      </c>
      <c r="Q15" s="46" t="s">
        <v>221</v>
      </c>
      <c r="R15" s="384">
        <f>P15*0.001</f>
        <v>1.7000000000000001E-4</v>
      </c>
      <c r="S15" s="46"/>
      <c r="T15" s="46"/>
      <c r="U15" s="46"/>
    </row>
    <row r="16" spans="1:21">
      <c r="A16" s="362" t="s">
        <v>5</v>
      </c>
      <c r="B16" s="363" t="s">
        <v>1166</v>
      </c>
      <c r="C16" s="364"/>
      <c r="D16" s="345"/>
      <c r="E16" s="345"/>
      <c r="F16" s="345"/>
      <c r="G16" s="345"/>
      <c r="H16" s="345"/>
      <c r="I16" s="345"/>
      <c r="J16" s="345"/>
      <c r="K16" s="345"/>
      <c r="L16" s="345"/>
      <c r="M16" s="345"/>
      <c r="N16" s="46"/>
      <c r="O16" s="46"/>
      <c r="P16" s="46"/>
      <c r="Q16" s="46"/>
      <c r="R16" s="46"/>
      <c r="S16" s="46"/>
      <c r="T16" s="46"/>
      <c r="U16" s="46"/>
    </row>
    <row r="17" spans="1:21">
      <c r="A17" s="338" t="s">
        <v>7</v>
      </c>
      <c r="B17" s="46" t="s">
        <v>779</v>
      </c>
      <c r="C17" s="337"/>
      <c r="D17" s="46"/>
      <c r="E17" s="46"/>
      <c r="F17" s="46"/>
      <c r="G17" s="46"/>
      <c r="H17" s="46"/>
      <c r="I17" s="46"/>
      <c r="J17" s="46"/>
      <c r="K17" s="46"/>
      <c r="L17" s="46"/>
      <c r="M17" s="46"/>
      <c r="N17" s="46"/>
      <c r="O17" s="46"/>
      <c r="P17" s="46"/>
      <c r="Q17" s="46"/>
      <c r="R17" s="46"/>
      <c r="S17" s="46"/>
      <c r="T17" s="46"/>
      <c r="U17" s="46"/>
    </row>
    <row r="18" spans="1:21">
      <c r="A18" s="338" t="s">
        <v>9</v>
      </c>
      <c r="B18" s="46" t="s">
        <v>1167</v>
      </c>
      <c r="C18" s="337"/>
      <c r="D18" s="46"/>
      <c r="E18" s="46"/>
      <c r="F18" s="46"/>
      <c r="G18" s="46"/>
      <c r="H18" s="46"/>
      <c r="I18" s="46"/>
      <c r="J18" s="46"/>
      <c r="K18" s="46"/>
      <c r="L18" s="46"/>
      <c r="M18" s="46"/>
      <c r="N18" s="46"/>
      <c r="O18" s="46"/>
      <c r="P18" s="46"/>
      <c r="Q18" s="46"/>
      <c r="R18" s="46"/>
      <c r="S18" s="46"/>
      <c r="T18" s="46"/>
      <c r="U18" s="46"/>
    </row>
    <row r="19" spans="1:21" ht="16.5" customHeight="1">
      <c r="A19" s="338" t="s">
        <v>11</v>
      </c>
      <c r="B19" s="339" t="s">
        <v>789</v>
      </c>
      <c r="C19" s="46"/>
      <c r="D19" s="46"/>
      <c r="E19" s="46"/>
      <c r="F19" s="46"/>
      <c r="G19" s="46"/>
      <c r="H19" s="46"/>
      <c r="I19" s="46"/>
      <c r="J19" s="46"/>
      <c r="K19" s="46"/>
      <c r="L19" s="46"/>
      <c r="M19" s="46"/>
      <c r="N19" s="46"/>
      <c r="O19" s="46"/>
      <c r="P19" s="46"/>
      <c r="Q19" s="46"/>
      <c r="R19" s="46"/>
      <c r="S19" s="46"/>
      <c r="T19" s="46"/>
      <c r="U19" s="46"/>
    </row>
    <row r="20" spans="1:21">
      <c r="A20" s="338" t="s">
        <v>13</v>
      </c>
      <c r="B20" s="46" t="s">
        <v>14</v>
      </c>
      <c r="C20" s="46"/>
      <c r="D20" s="46"/>
      <c r="E20" s="46"/>
      <c r="F20" s="46"/>
      <c r="G20" s="46"/>
      <c r="H20" s="46"/>
      <c r="I20" s="46"/>
      <c r="J20" s="46"/>
      <c r="K20" s="46"/>
      <c r="L20" s="46"/>
      <c r="M20" s="46"/>
      <c r="N20" s="46"/>
      <c r="O20" s="46"/>
      <c r="P20" s="46"/>
      <c r="Q20" s="46"/>
      <c r="R20" s="46"/>
      <c r="S20" s="46"/>
      <c r="T20" s="46"/>
      <c r="U20" s="46"/>
    </row>
    <row r="21" spans="1:21">
      <c r="A21" s="338" t="s">
        <v>15</v>
      </c>
      <c r="B21" s="46">
        <v>1</v>
      </c>
      <c r="C21" s="46"/>
      <c r="D21" s="46"/>
      <c r="E21" s="46"/>
      <c r="F21" s="46"/>
      <c r="G21" s="46"/>
      <c r="H21" s="46"/>
      <c r="I21" s="46"/>
      <c r="J21" s="46"/>
      <c r="K21" s="46"/>
      <c r="L21" s="46"/>
      <c r="M21" s="46"/>
      <c r="N21" s="46"/>
      <c r="O21" s="46"/>
      <c r="P21" s="46"/>
      <c r="Q21" s="46"/>
      <c r="R21" s="46"/>
      <c r="S21" s="46"/>
      <c r="T21" s="46"/>
      <c r="U21" s="46"/>
    </row>
    <row r="22" spans="1:21">
      <c r="A22" s="338" t="s">
        <v>16</v>
      </c>
      <c r="B22" s="46" t="s">
        <v>17</v>
      </c>
      <c r="C22" s="46"/>
      <c r="D22" s="46"/>
      <c r="E22" s="46"/>
      <c r="F22" s="46"/>
      <c r="G22" s="46"/>
      <c r="H22" s="46"/>
      <c r="I22" s="46"/>
      <c r="J22" s="46"/>
      <c r="K22" s="46"/>
      <c r="L22" s="46"/>
      <c r="M22" s="46"/>
      <c r="N22" s="46"/>
      <c r="O22" s="46"/>
      <c r="P22" s="46"/>
      <c r="Q22" s="46"/>
      <c r="R22" s="46"/>
      <c r="S22" s="46"/>
      <c r="T22" s="46"/>
      <c r="U22" s="46"/>
    </row>
    <row r="23" spans="1:21">
      <c r="A23" s="338" t="s">
        <v>18</v>
      </c>
      <c r="B23" s="46" t="s">
        <v>18</v>
      </c>
      <c r="C23" s="46"/>
      <c r="D23" s="46"/>
      <c r="E23" s="46"/>
      <c r="F23" s="46"/>
      <c r="G23" s="46"/>
      <c r="H23" s="46"/>
      <c r="I23" s="46"/>
      <c r="J23" s="46"/>
      <c r="K23" s="46"/>
      <c r="L23" s="46"/>
      <c r="M23" s="46"/>
      <c r="N23" s="46"/>
      <c r="O23" s="46"/>
      <c r="P23" s="46"/>
      <c r="Q23" s="46"/>
      <c r="R23" s="46"/>
      <c r="S23" s="46"/>
      <c r="T23" s="46"/>
      <c r="U23" s="46"/>
    </row>
    <row r="24" spans="1:21">
      <c r="A24" s="335" t="s">
        <v>19</v>
      </c>
      <c r="B24" s="46"/>
      <c r="C24" s="46"/>
      <c r="D24" s="46"/>
      <c r="E24" s="46"/>
      <c r="F24" s="46"/>
      <c r="G24" s="46"/>
      <c r="H24" s="46"/>
      <c r="I24" s="46"/>
      <c r="J24" s="46"/>
      <c r="K24" s="46"/>
      <c r="L24" s="46"/>
      <c r="M24" s="46"/>
      <c r="N24" s="46"/>
      <c r="O24" s="46"/>
      <c r="P24" s="46"/>
      <c r="Q24" s="46"/>
      <c r="R24" s="46"/>
      <c r="S24" s="46"/>
      <c r="T24" s="46"/>
      <c r="U24" s="46"/>
    </row>
    <row r="25" spans="1:21">
      <c r="A25" s="335" t="s">
        <v>20</v>
      </c>
      <c r="B25" s="336" t="s">
        <v>21</v>
      </c>
      <c r="C25" s="336" t="s">
        <v>18</v>
      </c>
      <c r="D25" s="336" t="s">
        <v>22</v>
      </c>
      <c r="E25" s="336" t="s">
        <v>7</v>
      </c>
      <c r="F25" s="336" t="s">
        <v>13</v>
      </c>
      <c r="G25" s="336" t="s">
        <v>16</v>
      </c>
      <c r="H25" s="336" t="s">
        <v>23</v>
      </c>
      <c r="I25" s="336" t="s">
        <v>24</v>
      </c>
      <c r="J25" s="336" t="s">
        <v>25</v>
      </c>
      <c r="K25" s="336" t="s">
        <v>26</v>
      </c>
      <c r="L25" s="336" t="s">
        <v>27</v>
      </c>
      <c r="M25" s="336" t="s">
        <v>28</v>
      </c>
      <c r="N25" s="336" t="s">
        <v>11</v>
      </c>
      <c r="O25" s="46"/>
      <c r="P25" s="46"/>
      <c r="Q25" s="46"/>
      <c r="R25" s="46"/>
      <c r="S25" s="46"/>
      <c r="T25" s="46"/>
      <c r="U25" s="46"/>
    </row>
    <row r="26" spans="1:21">
      <c r="A26" s="46" t="s">
        <v>1166</v>
      </c>
      <c r="B26" s="46">
        <v>1</v>
      </c>
      <c r="C26" s="46" t="s">
        <v>18</v>
      </c>
      <c r="D26" s="400" t="s">
        <v>2</v>
      </c>
      <c r="E26" s="46" t="s">
        <v>29</v>
      </c>
      <c r="F26" s="32" t="s">
        <v>14</v>
      </c>
      <c r="G26" s="46" t="s">
        <v>30</v>
      </c>
      <c r="H26" s="46">
        <v>1</v>
      </c>
      <c r="I26" s="407">
        <f>B26</f>
        <v>1</v>
      </c>
      <c r="J26" s="46" t="s">
        <v>31</v>
      </c>
      <c r="K26" s="46" t="s">
        <v>31</v>
      </c>
      <c r="L26" s="46" t="s">
        <v>31</v>
      </c>
      <c r="M26" s="46" t="s">
        <v>31</v>
      </c>
      <c r="N26" s="46"/>
      <c r="O26" s="46"/>
      <c r="P26" s="46"/>
      <c r="Q26" s="46"/>
      <c r="R26" s="46"/>
      <c r="S26" s="46"/>
      <c r="T26" s="46"/>
      <c r="U26" s="46"/>
    </row>
    <row r="27" spans="1:21">
      <c r="A27" s="47" t="s">
        <v>610</v>
      </c>
      <c r="B27" s="46">
        <v>5.25</v>
      </c>
      <c r="C27" s="46" t="s">
        <v>37</v>
      </c>
      <c r="D27" s="46" t="s">
        <v>40</v>
      </c>
      <c r="E27" s="46" t="s">
        <v>29</v>
      </c>
      <c r="F27" s="46" t="s">
        <v>58</v>
      </c>
      <c r="G27" s="46" t="s">
        <v>33</v>
      </c>
      <c r="H27" s="46">
        <v>1</v>
      </c>
      <c r="I27" s="407">
        <f>B27</f>
        <v>5.25</v>
      </c>
      <c r="J27" s="46" t="s">
        <v>31</v>
      </c>
      <c r="K27" s="46" t="s">
        <v>31</v>
      </c>
      <c r="L27" s="46" t="s">
        <v>31</v>
      </c>
      <c r="M27" s="46" t="s">
        <v>31</v>
      </c>
      <c r="N27" s="46"/>
      <c r="O27" s="46" t="s">
        <v>221</v>
      </c>
      <c r="P27" s="46">
        <v>0.34</v>
      </c>
      <c r="Q27" s="46"/>
      <c r="R27" s="46"/>
      <c r="S27" s="46"/>
      <c r="T27" s="46"/>
      <c r="U27" s="46"/>
    </row>
    <row r="28" spans="1:21">
      <c r="A28" s="47" t="s">
        <v>908</v>
      </c>
      <c r="B28" s="46">
        <f>R28</f>
        <v>0.224</v>
      </c>
      <c r="C28" s="46" t="s">
        <v>37</v>
      </c>
      <c r="D28" s="46" t="s">
        <v>40</v>
      </c>
      <c r="E28" s="46" t="s">
        <v>29</v>
      </c>
      <c r="F28" s="46" t="s">
        <v>58</v>
      </c>
      <c r="G28" s="46" t="s">
        <v>33</v>
      </c>
      <c r="H28" s="46">
        <v>2</v>
      </c>
      <c r="I28" s="46">
        <f>LN(B28)</f>
        <v>-1.4961092271270973</v>
      </c>
      <c r="J28" s="46">
        <v>3.7749172176353707E-2</v>
      </c>
      <c r="K28" s="46" t="s">
        <v>31</v>
      </c>
      <c r="L28" s="46" t="s">
        <v>31</v>
      </c>
      <c r="M28" s="46" t="s">
        <v>31</v>
      </c>
      <c r="N28" s="46"/>
      <c r="O28" s="393" t="s">
        <v>575</v>
      </c>
      <c r="P28" s="120">
        <v>224</v>
      </c>
      <c r="Q28" s="46" t="s">
        <v>221</v>
      </c>
      <c r="R28" s="46">
        <f>P28*0.001</f>
        <v>0.224</v>
      </c>
      <c r="S28" s="46"/>
      <c r="T28" s="46"/>
      <c r="U28" s="46"/>
    </row>
    <row r="29" spans="1:21">
      <c r="A29" s="47" t="s">
        <v>909</v>
      </c>
      <c r="B29" s="46">
        <f>R29</f>
        <v>1.34E-2</v>
      </c>
      <c r="C29" s="46" t="s">
        <v>37</v>
      </c>
      <c r="D29" s="46" t="s">
        <v>40</v>
      </c>
      <c r="E29" s="46" t="s">
        <v>29</v>
      </c>
      <c r="F29" s="46" t="s">
        <v>58</v>
      </c>
      <c r="G29" s="46" t="s">
        <v>33</v>
      </c>
      <c r="H29" s="46">
        <v>2</v>
      </c>
      <c r="I29" s="46">
        <f>LN(B29)</f>
        <v>-4.3125005720252716</v>
      </c>
      <c r="J29" s="46">
        <v>3.7749172176353707E-2</v>
      </c>
      <c r="K29" s="46" t="s">
        <v>31</v>
      </c>
      <c r="L29" s="46" t="s">
        <v>31</v>
      </c>
      <c r="M29" s="46" t="s">
        <v>31</v>
      </c>
      <c r="N29" s="46"/>
      <c r="O29" s="393" t="s">
        <v>575</v>
      </c>
      <c r="P29" s="120">
        <v>13.4</v>
      </c>
      <c r="Q29" s="46" t="s">
        <v>221</v>
      </c>
      <c r="R29" s="46">
        <f t="shared" ref="R29:R30" si="0">P29*0.001</f>
        <v>1.34E-2</v>
      </c>
      <c r="S29" s="46"/>
      <c r="T29" s="46"/>
      <c r="U29" s="46"/>
    </row>
    <row r="30" spans="1:21">
      <c r="A30" s="47" t="s">
        <v>910</v>
      </c>
      <c r="B30" s="46">
        <f>R30</f>
        <v>0.10100000000000001</v>
      </c>
      <c r="C30" s="46" t="s">
        <v>37</v>
      </c>
      <c r="D30" s="46" t="s">
        <v>40</v>
      </c>
      <c r="E30" s="46" t="s">
        <v>29</v>
      </c>
      <c r="F30" s="46" t="s">
        <v>58</v>
      </c>
      <c r="G30" s="46" t="s">
        <v>33</v>
      </c>
      <c r="H30" s="46">
        <v>2</v>
      </c>
      <c r="I30" s="46">
        <f>LN(B30)</f>
        <v>-2.2926347621408776</v>
      </c>
      <c r="J30" s="46">
        <v>3.7749172176353707E-2</v>
      </c>
      <c r="K30" s="46" t="s">
        <v>31</v>
      </c>
      <c r="L30" s="46" t="s">
        <v>31</v>
      </c>
      <c r="M30" s="46" t="s">
        <v>31</v>
      </c>
      <c r="N30" s="46"/>
      <c r="O30" s="393" t="s">
        <v>575</v>
      </c>
      <c r="P30" s="120">
        <v>101</v>
      </c>
      <c r="Q30" s="46" t="s">
        <v>221</v>
      </c>
      <c r="R30" s="46">
        <f t="shared" si="0"/>
        <v>0.10100000000000001</v>
      </c>
      <c r="S30" s="46"/>
      <c r="T30" s="46"/>
      <c r="U30" s="46"/>
    </row>
    <row r="31" spans="1:21">
      <c r="A31" s="362" t="s">
        <v>5</v>
      </c>
      <c r="B31" s="363" t="s">
        <v>1165</v>
      </c>
      <c r="C31" s="364"/>
      <c r="D31" s="345"/>
      <c r="E31" s="345"/>
      <c r="F31" s="345"/>
      <c r="G31" s="345"/>
      <c r="H31" s="345"/>
      <c r="I31" s="345"/>
      <c r="J31" s="345"/>
      <c r="K31" s="345"/>
      <c r="L31" s="345"/>
      <c r="M31" s="345"/>
      <c r="N31" s="46"/>
      <c r="O31" s="46"/>
      <c r="P31" s="46"/>
      <c r="Q31" s="46"/>
      <c r="R31" s="46"/>
      <c r="S31" s="46"/>
      <c r="T31" s="46"/>
      <c r="U31" s="46"/>
    </row>
    <row r="32" spans="1:21">
      <c r="A32" s="338" t="s">
        <v>7</v>
      </c>
      <c r="B32" s="46" t="s">
        <v>779</v>
      </c>
      <c r="C32" s="337"/>
      <c r="D32" s="46"/>
      <c r="E32" s="46"/>
      <c r="F32" s="46"/>
      <c r="G32" s="46"/>
      <c r="H32" s="46"/>
      <c r="I32" s="46"/>
      <c r="J32" s="46"/>
      <c r="K32" s="46"/>
      <c r="L32" s="46"/>
      <c r="M32" s="46"/>
      <c r="N32" s="46"/>
      <c r="O32" s="46"/>
      <c r="P32" s="46"/>
      <c r="Q32" s="46"/>
      <c r="R32" s="46"/>
      <c r="S32" s="46"/>
      <c r="T32" s="46"/>
      <c r="U32" s="46"/>
    </row>
    <row r="33" spans="1:21">
      <c r="A33" s="338" t="s">
        <v>9</v>
      </c>
      <c r="B33" s="46" t="s">
        <v>1168</v>
      </c>
      <c r="C33" s="337"/>
      <c r="D33" s="46"/>
      <c r="E33" s="46"/>
      <c r="F33" s="46"/>
      <c r="G33" s="46"/>
      <c r="H33" s="46"/>
      <c r="I33" s="46"/>
      <c r="J33" s="46"/>
      <c r="K33" s="46"/>
      <c r="L33" s="46"/>
      <c r="M33" s="46"/>
      <c r="N33" s="46"/>
      <c r="O33" s="46"/>
      <c r="P33" s="46"/>
      <c r="Q33" s="46"/>
      <c r="R33" s="46"/>
      <c r="S33" s="46"/>
      <c r="T33" s="46"/>
      <c r="U33" s="46"/>
    </row>
    <row r="34" spans="1:21" ht="18" customHeight="1">
      <c r="A34" s="338" t="s">
        <v>11</v>
      </c>
      <c r="B34" s="339" t="s">
        <v>789</v>
      </c>
      <c r="C34" s="46"/>
      <c r="D34" s="46"/>
      <c r="E34" s="46"/>
      <c r="F34" s="46"/>
      <c r="G34" s="46"/>
      <c r="H34" s="46"/>
      <c r="I34" s="46"/>
      <c r="J34" s="46"/>
      <c r="K34" s="46"/>
      <c r="L34" s="46"/>
      <c r="M34" s="46"/>
      <c r="N34" s="46"/>
      <c r="O34" s="46"/>
      <c r="P34" s="46"/>
      <c r="Q34" s="46"/>
      <c r="R34" s="46"/>
      <c r="S34" s="46"/>
      <c r="T34" s="46"/>
      <c r="U34" s="46"/>
    </row>
    <row r="35" spans="1:21">
      <c r="A35" s="338" t="s">
        <v>13</v>
      </c>
      <c r="B35" s="46" t="s">
        <v>14</v>
      </c>
      <c r="C35" s="46"/>
      <c r="D35" s="46"/>
      <c r="E35" s="46"/>
      <c r="F35" s="46"/>
      <c r="G35" s="46"/>
      <c r="H35" s="46"/>
      <c r="I35" s="46"/>
      <c r="J35" s="46"/>
      <c r="K35" s="46"/>
      <c r="L35" s="46"/>
      <c r="M35" s="46"/>
      <c r="N35" s="46"/>
      <c r="O35" s="46"/>
      <c r="P35" s="46"/>
      <c r="Q35" s="46"/>
      <c r="R35" s="46"/>
      <c r="S35" s="46"/>
      <c r="T35" s="46"/>
      <c r="U35" s="46"/>
    </row>
    <row r="36" spans="1:21">
      <c r="A36" s="338" t="s">
        <v>15</v>
      </c>
      <c r="B36" s="46">
        <v>1</v>
      </c>
      <c r="C36" s="46"/>
      <c r="D36" s="46"/>
      <c r="E36" s="46"/>
      <c r="F36" s="46"/>
      <c r="G36" s="46"/>
      <c r="H36" s="46"/>
      <c r="I36" s="46"/>
      <c r="J36" s="46"/>
      <c r="K36" s="46"/>
      <c r="L36" s="46"/>
      <c r="M36" s="46"/>
      <c r="N36" s="46"/>
      <c r="O36" s="46"/>
      <c r="P36" s="46"/>
      <c r="Q36" s="46"/>
      <c r="R36" s="46"/>
      <c r="S36" s="46"/>
      <c r="T36" s="46"/>
      <c r="U36" s="46"/>
    </row>
    <row r="37" spans="1:21">
      <c r="A37" s="338" t="s">
        <v>16</v>
      </c>
      <c r="B37" s="46" t="s">
        <v>17</v>
      </c>
      <c r="C37" s="46"/>
      <c r="D37" s="46"/>
      <c r="E37" s="46"/>
      <c r="F37" s="46"/>
      <c r="G37" s="46"/>
      <c r="H37" s="46"/>
      <c r="I37" s="46"/>
      <c r="J37" s="46"/>
      <c r="K37" s="46"/>
      <c r="L37" s="46"/>
      <c r="M37" s="46"/>
      <c r="N37" s="46"/>
      <c r="O37" s="46"/>
      <c r="P37" s="46"/>
      <c r="Q37" s="46"/>
      <c r="R37" s="46"/>
      <c r="S37" s="46"/>
      <c r="T37" s="46"/>
      <c r="U37" s="46"/>
    </row>
    <row r="38" spans="1:21">
      <c r="A38" s="338" t="s">
        <v>18</v>
      </c>
      <c r="B38" s="46" t="s">
        <v>18</v>
      </c>
      <c r="C38" s="46"/>
      <c r="D38" s="46"/>
      <c r="E38" s="46"/>
      <c r="F38" s="46"/>
      <c r="G38" s="46"/>
      <c r="H38" s="46"/>
      <c r="I38" s="46"/>
      <c r="J38" s="46"/>
      <c r="K38" s="46"/>
      <c r="L38" s="46"/>
      <c r="M38" s="46"/>
      <c r="N38" s="46"/>
      <c r="O38" s="46"/>
      <c r="P38" s="46"/>
      <c r="Q38" s="46"/>
      <c r="R38" s="46"/>
      <c r="S38" s="46"/>
      <c r="T38" s="46"/>
      <c r="U38" s="46"/>
    </row>
    <row r="39" spans="1:21">
      <c r="A39" s="335" t="s">
        <v>19</v>
      </c>
      <c r="B39" s="46"/>
      <c r="C39" s="46"/>
      <c r="D39" s="46"/>
      <c r="E39" s="46"/>
      <c r="F39" s="46"/>
      <c r="G39" s="46"/>
      <c r="H39" s="46"/>
      <c r="I39" s="46"/>
      <c r="J39" s="46"/>
      <c r="K39" s="46"/>
      <c r="L39" s="46"/>
      <c r="M39" s="46"/>
      <c r="N39" s="46"/>
      <c r="O39" s="46"/>
      <c r="P39" s="46"/>
      <c r="Q39" s="46"/>
      <c r="R39" s="46"/>
      <c r="S39" s="46"/>
      <c r="T39" s="46"/>
      <c r="U39" s="46"/>
    </row>
    <row r="40" spans="1:21">
      <c r="A40" s="335" t="s">
        <v>20</v>
      </c>
      <c r="B40" s="336" t="s">
        <v>21</v>
      </c>
      <c r="C40" s="336" t="s">
        <v>18</v>
      </c>
      <c r="D40" s="336" t="s">
        <v>22</v>
      </c>
      <c r="E40" s="336" t="s">
        <v>7</v>
      </c>
      <c r="F40" s="336" t="s">
        <v>13</v>
      </c>
      <c r="G40" s="336" t="s">
        <v>16</v>
      </c>
      <c r="H40" s="336" t="s">
        <v>23</v>
      </c>
      <c r="I40" s="336" t="s">
        <v>24</v>
      </c>
      <c r="J40" s="336" t="s">
        <v>25</v>
      </c>
      <c r="K40" s="336" t="s">
        <v>26</v>
      </c>
      <c r="L40" s="336" t="s">
        <v>27</v>
      </c>
      <c r="M40" s="336" t="s">
        <v>28</v>
      </c>
      <c r="N40" s="336" t="s">
        <v>11</v>
      </c>
      <c r="O40" s="46"/>
      <c r="P40" s="46"/>
      <c r="Q40" s="46"/>
      <c r="R40" s="46"/>
      <c r="S40" s="46"/>
      <c r="T40" s="46"/>
      <c r="U40" s="46"/>
    </row>
    <row r="41" spans="1:21">
      <c r="A41" s="46" t="s">
        <v>1165</v>
      </c>
      <c r="B41" s="46">
        <v>1</v>
      </c>
      <c r="C41" s="46" t="s">
        <v>18</v>
      </c>
      <c r="D41" s="400" t="s">
        <v>2</v>
      </c>
      <c r="E41" s="46" t="s">
        <v>29</v>
      </c>
      <c r="F41" s="32" t="s">
        <v>14</v>
      </c>
      <c r="G41" s="46" t="s">
        <v>30</v>
      </c>
      <c r="H41" s="46">
        <v>1</v>
      </c>
      <c r="I41" s="407">
        <f>B41</f>
        <v>1</v>
      </c>
      <c r="J41" s="46" t="s">
        <v>31</v>
      </c>
      <c r="K41" s="46" t="s">
        <v>31</v>
      </c>
      <c r="L41" s="46" t="s">
        <v>31</v>
      </c>
      <c r="M41" s="46" t="s">
        <v>31</v>
      </c>
      <c r="N41" s="46"/>
      <c r="O41" s="46"/>
      <c r="P41" s="46"/>
      <c r="Q41" s="46"/>
      <c r="R41" s="46"/>
      <c r="S41" s="46"/>
      <c r="T41" s="46"/>
      <c r="U41" s="46"/>
    </row>
    <row r="42" spans="1:21">
      <c r="A42" s="47" t="s">
        <v>1169</v>
      </c>
      <c r="B42" s="46">
        <f>B55</f>
        <v>0.12</v>
      </c>
      <c r="C42" s="46" t="s">
        <v>37</v>
      </c>
      <c r="D42" s="400" t="s">
        <v>2</v>
      </c>
      <c r="E42" s="46" t="s">
        <v>29</v>
      </c>
      <c r="F42" s="32" t="s">
        <v>14</v>
      </c>
      <c r="G42" s="46" t="s">
        <v>33</v>
      </c>
      <c r="H42" s="46">
        <v>1</v>
      </c>
      <c r="I42" s="407">
        <f>B42</f>
        <v>0.12</v>
      </c>
      <c r="J42" s="46" t="s">
        <v>31</v>
      </c>
      <c r="K42" s="46" t="s">
        <v>31</v>
      </c>
      <c r="L42" s="46" t="s">
        <v>31</v>
      </c>
      <c r="M42" s="46" t="s">
        <v>31</v>
      </c>
      <c r="N42" s="46"/>
      <c r="O42" s="62"/>
      <c r="P42" s="413"/>
      <c r="Q42" s="46"/>
      <c r="R42" s="46"/>
      <c r="S42" s="46"/>
      <c r="T42" s="46"/>
      <c r="U42" s="46"/>
    </row>
    <row r="43" spans="1:21">
      <c r="A43" s="47" t="s">
        <v>1170</v>
      </c>
      <c r="B43" s="46">
        <v>1</v>
      </c>
      <c r="C43" s="46" t="s">
        <v>18</v>
      </c>
      <c r="D43" s="400" t="s">
        <v>2</v>
      </c>
      <c r="E43" s="46" t="s">
        <v>29</v>
      </c>
      <c r="F43" s="32" t="s">
        <v>14</v>
      </c>
      <c r="G43" s="46" t="s">
        <v>33</v>
      </c>
      <c r="H43" s="46">
        <v>1</v>
      </c>
      <c r="I43" s="407">
        <f>B43</f>
        <v>1</v>
      </c>
      <c r="J43" s="46" t="s">
        <v>31</v>
      </c>
      <c r="K43" s="46" t="s">
        <v>31</v>
      </c>
      <c r="L43" s="46" t="s">
        <v>31</v>
      </c>
      <c r="M43" s="46" t="s">
        <v>31</v>
      </c>
      <c r="N43" s="46"/>
      <c r="O43" s="46"/>
      <c r="P43" s="46"/>
      <c r="Q43" s="46"/>
      <c r="R43" s="46"/>
      <c r="S43" s="46"/>
      <c r="T43" s="46"/>
      <c r="U43" s="46"/>
    </row>
    <row r="44" spans="1:21">
      <c r="A44" s="338" t="s">
        <v>75</v>
      </c>
      <c r="B44" s="350">
        <f>R44</f>
        <v>3.5999999999999997E-2</v>
      </c>
      <c r="C44" s="46" t="s">
        <v>39</v>
      </c>
      <c r="D44" s="46" t="s">
        <v>40</v>
      </c>
      <c r="E44" s="46" t="s">
        <v>29</v>
      </c>
      <c r="F44" s="32" t="s">
        <v>35</v>
      </c>
      <c r="G44" s="46" t="s">
        <v>33</v>
      </c>
      <c r="H44" s="46">
        <v>2</v>
      </c>
      <c r="I44" s="46">
        <f t="shared" ref="I44" si="1">LN(B44)</f>
        <v>-3.3242363405260273</v>
      </c>
      <c r="J44" s="46">
        <v>7.2284161474004766E-2</v>
      </c>
      <c r="K44" s="46" t="s">
        <v>31</v>
      </c>
      <c r="L44" s="46" t="s">
        <v>31</v>
      </c>
      <c r="M44" s="46" t="s">
        <v>31</v>
      </c>
      <c r="N44" s="46"/>
      <c r="O44" s="375" t="s">
        <v>216</v>
      </c>
      <c r="P44" s="385">
        <v>3.5999999999999997E-2</v>
      </c>
      <c r="Q44" s="46" t="s">
        <v>216</v>
      </c>
      <c r="R44" s="350">
        <f>P44</f>
        <v>3.5999999999999997E-2</v>
      </c>
      <c r="S44" s="46"/>
      <c r="T44" s="46"/>
      <c r="U44" s="46"/>
    </row>
    <row r="45" spans="1:21">
      <c r="A45" s="362" t="s">
        <v>5</v>
      </c>
      <c r="B45" s="363" t="s">
        <v>1169</v>
      </c>
      <c r="C45" s="364"/>
      <c r="D45" s="345"/>
      <c r="E45" s="345"/>
      <c r="F45" s="345"/>
      <c r="G45" s="345"/>
      <c r="H45" s="345"/>
      <c r="I45" s="345"/>
      <c r="J45" s="345"/>
      <c r="K45" s="345"/>
      <c r="L45" s="345"/>
      <c r="M45" s="345"/>
      <c r="N45" s="46"/>
      <c r="O45" s="46"/>
      <c r="P45" s="46"/>
      <c r="Q45" s="46"/>
      <c r="R45" s="46"/>
      <c r="S45" s="46"/>
      <c r="T45" s="46"/>
      <c r="U45" s="46"/>
    </row>
    <row r="46" spans="1:21">
      <c r="A46" s="338" t="s">
        <v>7</v>
      </c>
      <c r="B46" s="46" t="s">
        <v>779</v>
      </c>
      <c r="C46" s="337"/>
      <c r="D46" s="46"/>
      <c r="E46" s="46"/>
      <c r="F46" s="46"/>
      <c r="G46" s="46"/>
      <c r="H46" s="46"/>
      <c r="I46" s="46"/>
      <c r="J46" s="46"/>
      <c r="K46" s="46"/>
      <c r="L46" s="46"/>
      <c r="M46" s="46"/>
      <c r="N46" s="46"/>
      <c r="O46" s="46"/>
      <c r="P46" s="46"/>
      <c r="Q46" s="46"/>
      <c r="R46" s="46"/>
      <c r="S46" s="46"/>
      <c r="T46" s="46"/>
      <c r="U46" s="46"/>
    </row>
    <row r="47" spans="1:21">
      <c r="A47" s="338" t="s">
        <v>9</v>
      </c>
      <c r="B47" s="46" t="s">
        <v>1171</v>
      </c>
      <c r="C47" s="337"/>
      <c r="D47" s="46"/>
      <c r="E47" s="46"/>
      <c r="F47" s="46"/>
      <c r="G47" s="46"/>
      <c r="H47" s="46"/>
      <c r="I47" s="46"/>
      <c r="J47" s="46"/>
      <c r="K47" s="46"/>
      <c r="L47" s="46"/>
      <c r="M47" s="46"/>
      <c r="N47" s="46"/>
      <c r="O47" s="46"/>
      <c r="P47" s="46"/>
      <c r="Q47" s="46"/>
      <c r="R47" s="46"/>
      <c r="S47" s="46"/>
      <c r="T47" s="46"/>
      <c r="U47" s="46"/>
    </row>
    <row r="48" spans="1:21" ht="11.25" customHeight="1">
      <c r="A48" s="338" t="s">
        <v>11</v>
      </c>
      <c r="B48" s="339" t="s">
        <v>789</v>
      </c>
      <c r="C48" s="46"/>
      <c r="D48" s="46"/>
      <c r="E48" s="46"/>
      <c r="F48" s="46"/>
      <c r="G48" s="46"/>
      <c r="H48" s="46"/>
      <c r="I48" s="46"/>
      <c r="J48" s="46"/>
      <c r="K48" s="46"/>
      <c r="L48" s="46"/>
      <c r="M48" s="46"/>
      <c r="N48" s="46"/>
      <c r="O48" s="46"/>
      <c r="P48" s="46"/>
      <c r="Q48" s="46"/>
      <c r="R48" s="46"/>
      <c r="S48" s="46"/>
      <c r="T48" s="46"/>
      <c r="U48" s="46"/>
    </row>
    <row r="49" spans="1:21">
      <c r="A49" s="338" t="s">
        <v>13</v>
      </c>
      <c r="B49" s="46" t="s">
        <v>14</v>
      </c>
      <c r="C49" s="46"/>
      <c r="D49" s="46"/>
      <c r="E49" s="46"/>
      <c r="F49" s="46"/>
      <c r="G49" s="46"/>
      <c r="H49" s="46"/>
      <c r="I49" s="46"/>
      <c r="J49" s="46"/>
      <c r="K49" s="46"/>
      <c r="L49" s="46"/>
      <c r="M49" s="46"/>
      <c r="N49" s="46"/>
      <c r="O49" s="46"/>
      <c r="P49" s="46"/>
      <c r="Q49" s="46"/>
      <c r="R49" s="46"/>
      <c r="S49" s="46"/>
      <c r="T49" s="46"/>
      <c r="U49" s="46"/>
    </row>
    <row r="50" spans="1:21">
      <c r="A50" s="338" t="s">
        <v>15</v>
      </c>
      <c r="B50" s="46">
        <f>B55</f>
        <v>0.12</v>
      </c>
      <c r="C50" s="46"/>
      <c r="D50" s="46"/>
      <c r="E50" s="46"/>
      <c r="F50" s="46"/>
      <c r="G50" s="46"/>
      <c r="H50" s="46"/>
      <c r="I50" s="46"/>
      <c r="J50" s="46"/>
      <c r="K50" s="46"/>
      <c r="L50" s="46"/>
      <c r="M50" s="46"/>
      <c r="N50" s="46"/>
      <c r="O50" s="46"/>
      <c r="P50" s="46"/>
      <c r="Q50" s="46"/>
      <c r="R50" s="46"/>
      <c r="S50" s="46"/>
      <c r="T50" s="46"/>
      <c r="U50" s="46"/>
    </row>
    <row r="51" spans="1:21">
      <c r="A51" s="338" t="s">
        <v>16</v>
      </c>
      <c r="B51" s="46" t="s">
        <v>17</v>
      </c>
      <c r="C51" s="46"/>
      <c r="D51" s="46"/>
      <c r="E51" s="46"/>
      <c r="F51" s="46"/>
      <c r="G51" s="46"/>
      <c r="H51" s="46"/>
      <c r="I51" s="46"/>
      <c r="J51" s="46"/>
      <c r="K51" s="46"/>
      <c r="L51" s="46"/>
      <c r="M51" s="46"/>
      <c r="N51" s="46"/>
      <c r="O51" s="46"/>
      <c r="P51" s="46"/>
      <c r="Q51" s="46"/>
      <c r="R51" s="46"/>
      <c r="S51" s="46"/>
      <c r="T51" s="46"/>
      <c r="U51" s="46"/>
    </row>
    <row r="52" spans="1:21">
      <c r="A52" s="338" t="s">
        <v>18</v>
      </c>
      <c r="B52" s="46" t="s">
        <v>37</v>
      </c>
      <c r="C52" s="46"/>
      <c r="D52" s="46"/>
      <c r="E52" s="46"/>
      <c r="F52" s="46"/>
      <c r="G52" s="46"/>
      <c r="H52" s="46"/>
      <c r="I52" s="46"/>
      <c r="J52" s="46"/>
      <c r="K52" s="46"/>
      <c r="L52" s="46"/>
      <c r="M52" s="46"/>
      <c r="N52" s="46"/>
      <c r="O52" s="46"/>
      <c r="P52" s="46"/>
      <c r="Q52" s="46"/>
      <c r="R52" s="46"/>
      <c r="S52" s="46"/>
      <c r="T52" s="46"/>
      <c r="U52" s="46"/>
    </row>
    <row r="53" spans="1:21">
      <c r="A53" s="335" t="s">
        <v>19</v>
      </c>
      <c r="B53" s="46"/>
      <c r="C53" s="46"/>
      <c r="D53" s="46"/>
      <c r="E53" s="46"/>
      <c r="F53" s="46"/>
      <c r="G53" s="46"/>
      <c r="H53" s="46"/>
      <c r="I53" s="46"/>
      <c r="J53" s="46"/>
      <c r="K53" s="46"/>
      <c r="L53" s="46"/>
      <c r="M53" s="46"/>
      <c r="N53" s="46"/>
      <c r="O53" s="46"/>
      <c r="P53" s="46"/>
      <c r="Q53" s="46"/>
      <c r="R53" s="46"/>
      <c r="S53" s="46"/>
      <c r="T53" s="46"/>
      <c r="U53" s="46"/>
    </row>
    <row r="54" spans="1:21">
      <c r="A54" s="335" t="s">
        <v>20</v>
      </c>
      <c r="B54" s="336" t="s">
        <v>21</v>
      </c>
      <c r="C54" s="336" t="s">
        <v>18</v>
      </c>
      <c r="D54" s="336" t="s">
        <v>22</v>
      </c>
      <c r="E54" s="336" t="s">
        <v>7</v>
      </c>
      <c r="F54" s="336" t="s">
        <v>13</v>
      </c>
      <c r="G54" s="336" t="s">
        <v>16</v>
      </c>
      <c r="H54" s="336" t="s">
        <v>23</v>
      </c>
      <c r="I54" s="336" t="s">
        <v>24</v>
      </c>
      <c r="J54" s="336" t="s">
        <v>25</v>
      </c>
      <c r="K54" s="336" t="s">
        <v>26</v>
      </c>
      <c r="L54" s="336" t="s">
        <v>27</v>
      </c>
      <c r="M54" s="336" t="s">
        <v>28</v>
      </c>
      <c r="N54" s="336" t="s">
        <v>11</v>
      </c>
      <c r="O54" s="46"/>
      <c r="P54" s="46"/>
      <c r="Q54" s="46"/>
      <c r="R54" s="46"/>
      <c r="S54" s="46"/>
      <c r="T54" s="46"/>
      <c r="U54" s="46"/>
    </row>
    <row r="55" spans="1:21">
      <c r="A55" s="47" t="s">
        <v>1169</v>
      </c>
      <c r="B55" s="46">
        <v>0.12</v>
      </c>
      <c r="C55" s="46" t="s">
        <v>37</v>
      </c>
      <c r="D55" s="400" t="s">
        <v>2</v>
      </c>
      <c r="E55" s="46" t="s">
        <v>29</v>
      </c>
      <c r="F55" s="32" t="s">
        <v>14</v>
      </c>
      <c r="G55" s="46" t="s">
        <v>30</v>
      </c>
      <c r="H55" s="46">
        <v>1</v>
      </c>
      <c r="I55" s="407">
        <f>B55</f>
        <v>0.12</v>
      </c>
      <c r="J55" s="46" t="s">
        <v>31</v>
      </c>
      <c r="K55" s="46" t="s">
        <v>31</v>
      </c>
      <c r="L55" s="46" t="s">
        <v>31</v>
      </c>
      <c r="M55" s="46" t="s">
        <v>31</v>
      </c>
      <c r="N55" s="46"/>
      <c r="O55" s="473" t="s">
        <v>221</v>
      </c>
      <c r="P55" s="457">
        <v>0.10299999999999999</v>
      </c>
      <c r="Q55" s="46" t="s">
        <v>221</v>
      </c>
      <c r="R55" s="46">
        <f>P55</f>
        <v>0.10299999999999999</v>
      </c>
      <c r="S55" s="46"/>
      <c r="T55" s="46"/>
      <c r="U55" s="46"/>
    </row>
    <row r="56" spans="1:21">
      <c r="A56" s="47" t="s">
        <v>601</v>
      </c>
      <c r="B56" s="384">
        <f>R56</f>
        <v>0.10299999999999999</v>
      </c>
      <c r="C56" s="46" t="s">
        <v>37</v>
      </c>
      <c r="D56" s="46" t="s">
        <v>40</v>
      </c>
      <c r="E56" s="46" t="s">
        <v>29</v>
      </c>
      <c r="F56" s="32" t="s">
        <v>35</v>
      </c>
      <c r="G56" s="46" t="s">
        <v>33</v>
      </c>
      <c r="H56" s="46">
        <v>2</v>
      </c>
      <c r="I56" s="46">
        <f>LN(B56)</f>
        <v>-2.2730262907525014</v>
      </c>
      <c r="J56" s="46">
        <v>2.8722813232690055E-2</v>
      </c>
      <c r="K56" s="46" t="s">
        <v>31</v>
      </c>
      <c r="L56" s="46" t="s">
        <v>31</v>
      </c>
      <c r="M56" s="46" t="s">
        <v>31</v>
      </c>
      <c r="N56" s="46"/>
      <c r="O56" s="475" t="s">
        <v>221</v>
      </c>
      <c r="P56" s="406">
        <v>0.10299999999999999</v>
      </c>
      <c r="Q56" s="46" t="s">
        <v>221</v>
      </c>
      <c r="R56" s="384">
        <f>P56</f>
        <v>0.10299999999999999</v>
      </c>
      <c r="S56" s="46"/>
      <c r="T56" s="46"/>
      <c r="U56" s="46"/>
    </row>
    <row r="57" spans="1:21">
      <c r="A57" s="338" t="s">
        <v>75</v>
      </c>
      <c r="B57" s="342">
        <f>R57</f>
        <v>3.1E-2</v>
      </c>
      <c r="C57" s="46" t="s">
        <v>39</v>
      </c>
      <c r="D57" s="46" t="s">
        <v>40</v>
      </c>
      <c r="E57" s="46" t="s">
        <v>29</v>
      </c>
      <c r="F57" s="32" t="s">
        <v>35</v>
      </c>
      <c r="G57" s="46" t="s">
        <v>33</v>
      </c>
      <c r="H57" s="46">
        <v>2</v>
      </c>
      <c r="I57" s="46">
        <f t="shared" ref="I57" si="2">LN(B57)</f>
        <v>-3.473768074496991</v>
      </c>
      <c r="J57" s="46">
        <v>7.2284161474004766E-2</v>
      </c>
      <c r="K57" s="46" t="s">
        <v>31</v>
      </c>
      <c r="L57" s="46" t="s">
        <v>31</v>
      </c>
      <c r="M57" s="46" t="s">
        <v>31</v>
      </c>
      <c r="N57" s="46"/>
      <c r="O57" s="375" t="s">
        <v>216</v>
      </c>
      <c r="P57" s="406">
        <v>3.1E-2</v>
      </c>
      <c r="Q57" s="46" t="s">
        <v>216</v>
      </c>
      <c r="R57" s="342">
        <f>P57</f>
        <v>3.1E-2</v>
      </c>
      <c r="S57" s="46"/>
      <c r="T57" s="46"/>
      <c r="U57" s="46"/>
    </row>
    <row r="58" spans="1:21">
      <c r="A58" s="362" t="s">
        <v>5</v>
      </c>
      <c r="B58" s="148" t="s">
        <v>1170</v>
      </c>
      <c r="C58" s="364"/>
      <c r="D58" s="345"/>
      <c r="E58" s="345"/>
      <c r="F58" s="345"/>
      <c r="G58" s="345"/>
      <c r="H58" s="345"/>
      <c r="I58" s="345"/>
      <c r="J58" s="345"/>
      <c r="K58" s="345"/>
      <c r="L58" s="345"/>
      <c r="M58" s="345"/>
      <c r="N58" s="46"/>
      <c r="O58" s="46"/>
      <c r="P58" s="46"/>
      <c r="Q58" s="46"/>
      <c r="R58" s="46"/>
      <c r="S58" s="46"/>
      <c r="T58" s="46"/>
      <c r="U58" s="46"/>
    </row>
    <row r="59" spans="1:21">
      <c r="A59" s="338" t="s">
        <v>7</v>
      </c>
      <c r="B59" s="46" t="s">
        <v>779</v>
      </c>
      <c r="C59" s="337"/>
      <c r="D59" s="46"/>
      <c r="E59" s="46"/>
      <c r="F59" s="46"/>
      <c r="G59" s="46"/>
      <c r="H59" s="46"/>
      <c r="I59" s="46"/>
      <c r="J59" s="46"/>
      <c r="K59" s="46"/>
      <c r="L59" s="46"/>
      <c r="M59" s="46"/>
      <c r="N59" s="46"/>
      <c r="O59" s="46"/>
      <c r="P59" s="46"/>
      <c r="Q59" s="46"/>
      <c r="R59" s="46"/>
      <c r="S59" s="46"/>
      <c r="T59" s="46"/>
      <c r="U59" s="46"/>
    </row>
    <row r="60" spans="1:21">
      <c r="A60" s="416" t="s">
        <v>9</v>
      </c>
      <c r="B60" s="46" t="s">
        <v>1172</v>
      </c>
      <c r="C60" s="337"/>
      <c r="D60" s="46"/>
      <c r="E60" s="46"/>
      <c r="F60" s="46"/>
      <c r="G60" s="46"/>
      <c r="H60" s="46"/>
      <c r="I60" s="46"/>
      <c r="J60" s="46"/>
      <c r="K60" s="46"/>
      <c r="L60" s="46"/>
      <c r="M60" s="46"/>
      <c r="N60" s="46"/>
      <c r="O60" s="46"/>
      <c r="P60" s="46"/>
      <c r="Q60" s="46"/>
      <c r="R60" s="46"/>
      <c r="S60" s="46"/>
      <c r="T60" s="46"/>
      <c r="U60" s="46"/>
    </row>
    <row r="61" spans="1:21" ht="27.75" customHeight="1">
      <c r="A61" s="338" t="s">
        <v>11</v>
      </c>
      <c r="B61" s="339" t="s">
        <v>789</v>
      </c>
      <c r="C61" s="46"/>
      <c r="D61" s="46"/>
      <c r="E61" s="46"/>
      <c r="F61" s="46"/>
      <c r="G61" s="46"/>
      <c r="H61" s="46"/>
      <c r="I61" s="46"/>
      <c r="J61" s="46"/>
      <c r="K61" s="46"/>
      <c r="L61" s="46"/>
      <c r="M61" s="46"/>
      <c r="N61" s="46"/>
      <c r="O61" s="46"/>
      <c r="P61" s="46"/>
      <c r="Q61" s="46"/>
      <c r="R61" s="46"/>
      <c r="S61" s="46"/>
      <c r="T61" s="46"/>
      <c r="U61" s="46"/>
    </row>
    <row r="62" spans="1:21">
      <c r="A62" s="338" t="s">
        <v>13</v>
      </c>
      <c r="B62" s="46" t="s">
        <v>14</v>
      </c>
      <c r="C62" s="46"/>
      <c r="D62" s="46"/>
      <c r="E62" s="46"/>
      <c r="F62" s="46"/>
      <c r="G62" s="46"/>
      <c r="H62" s="46"/>
      <c r="I62" s="46"/>
      <c r="J62" s="46"/>
      <c r="K62" s="46"/>
      <c r="L62" s="46"/>
      <c r="M62" s="46"/>
      <c r="N62" s="46"/>
      <c r="O62" s="46"/>
      <c r="P62" s="46"/>
      <c r="Q62" s="46"/>
      <c r="R62" s="46"/>
      <c r="S62" s="46"/>
      <c r="T62" s="46"/>
      <c r="U62" s="46"/>
    </row>
    <row r="63" spans="1:21">
      <c r="A63" s="338" t="s">
        <v>15</v>
      </c>
      <c r="B63" s="46">
        <v>1</v>
      </c>
      <c r="C63" s="46"/>
      <c r="D63" s="46"/>
      <c r="E63" s="46"/>
      <c r="F63" s="46"/>
      <c r="G63" s="46"/>
      <c r="H63" s="46"/>
      <c r="I63" s="46"/>
      <c r="J63" s="46"/>
      <c r="K63" s="46"/>
      <c r="L63" s="46"/>
      <c r="M63" s="46"/>
      <c r="N63" s="46"/>
      <c r="O63" s="46"/>
      <c r="P63" s="46"/>
      <c r="Q63" s="46"/>
      <c r="R63" s="46"/>
      <c r="S63" s="46"/>
      <c r="T63" s="46"/>
      <c r="U63" s="46"/>
    </row>
    <row r="64" spans="1:21">
      <c r="A64" s="338" t="s">
        <v>16</v>
      </c>
      <c r="B64" s="46" t="s">
        <v>17</v>
      </c>
      <c r="C64" s="46"/>
      <c r="D64" s="46"/>
      <c r="E64" s="46"/>
      <c r="F64" s="46"/>
      <c r="G64" s="46"/>
      <c r="H64" s="46"/>
      <c r="I64" s="46"/>
      <c r="J64" s="46"/>
      <c r="K64" s="46"/>
      <c r="L64" s="46"/>
      <c r="M64" s="46"/>
      <c r="N64" s="46"/>
      <c r="O64" s="46"/>
      <c r="P64" s="46"/>
      <c r="Q64" s="46"/>
      <c r="R64" s="46"/>
      <c r="S64" s="46"/>
      <c r="T64" s="46"/>
      <c r="U64" s="46"/>
    </row>
    <row r="65" spans="1:21">
      <c r="A65" s="338" t="s">
        <v>18</v>
      </c>
      <c r="B65" s="46" t="s">
        <v>18</v>
      </c>
      <c r="C65" s="46"/>
      <c r="D65" s="46"/>
      <c r="E65" s="46"/>
      <c r="F65" s="46"/>
      <c r="G65" s="46"/>
      <c r="H65" s="46"/>
      <c r="I65" s="46"/>
      <c r="J65" s="46"/>
      <c r="K65" s="46"/>
      <c r="L65" s="46"/>
      <c r="M65" s="46"/>
      <c r="N65" s="46"/>
      <c r="O65" s="46"/>
      <c r="P65" s="46"/>
      <c r="Q65" s="46"/>
      <c r="R65" s="46"/>
      <c r="S65" s="46"/>
      <c r="T65" s="46"/>
      <c r="U65" s="46"/>
    </row>
    <row r="66" spans="1:21">
      <c r="A66" s="335" t="s">
        <v>19</v>
      </c>
      <c r="B66" s="46"/>
      <c r="C66" s="46"/>
      <c r="D66" s="46"/>
      <c r="E66" s="46"/>
      <c r="F66" s="46"/>
      <c r="G66" s="46"/>
      <c r="H66" s="46"/>
      <c r="I66" s="46"/>
      <c r="J66" s="46"/>
      <c r="K66" s="46"/>
      <c r="L66" s="46"/>
      <c r="M66" s="46"/>
      <c r="N66" s="46"/>
      <c r="O66" s="46"/>
      <c r="P66" s="46"/>
      <c r="Q66" s="46"/>
      <c r="R66" s="46"/>
      <c r="S66" s="46"/>
      <c r="T66" s="46"/>
      <c r="U66" s="46"/>
    </row>
    <row r="67" spans="1:21">
      <c r="A67" s="335" t="s">
        <v>20</v>
      </c>
      <c r="B67" s="336" t="s">
        <v>21</v>
      </c>
      <c r="C67" s="336" t="s">
        <v>18</v>
      </c>
      <c r="D67" s="336" t="s">
        <v>22</v>
      </c>
      <c r="E67" s="336" t="s">
        <v>7</v>
      </c>
      <c r="F67" s="336" t="s">
        <v>13</v>
      </c>
      <c r="G67" s="336" t="s">
        <v>16</v>
      </c>
      <c r="H67" s="336" t="s">
        <v>23</v>
      </c>
      <c r="I67" s="336" t="s">
        <v>24</v>
      </c>
      <c r="J67" s="336" t="s">
        <v>25</v>
      </c>
      <c r="K67" s="336" t="s">
        <v>26</v>
      </c>
      <c r="L67" s="336" t="s">
        <v>27</v>
      </c>
      <c r="M67" s="336" t="s">
        <v>28</v>
      </c>
      <c r="N67" s="336" t="s">
        <v>11</v>
      </c>
      <c r="O67" s="46"/>
      <c r="P67" s="46"/>
      <c r="Q67" s="46"/>
      <c r="R67" s="46"/>
      <c r="S67" s="46"/>
      <c r="T67" s="46"/>
      <c r="U67" s="46"/>
    </row>
    <row r="68" spans="1:21">
      <c r="A68" s="47" t="s">
        <v>1170</v>
      </c>
      <c r="B68" s="46">
        <v>1</v>
      </c>
      <c r="C68" s="46" t="s">
        <v>18</v>
      </c>
      <c r="D68" s="400" t="s">
        <v>2</v>
      </c>
      <c r="E68" s="46" t="s">
        <v>29</v>
      </c>
      <c r="F68" s="32" t="s">
        <v>14</v>
      </c>
      <c r="G68" s="46" t="s">
        <v>30</v>
      </c>
      <c r="H68" s="46">
        <v>1</v>
      </c>
      <c r="I68" s="407">
        <f>B68</f>
        <v>1</v>
      </c>
      <c r="J68" s="46" t="s">
        <v>31</v>
      </c>
      <c r="K68" s="46" t="s">
        <v>31</v>
      </c>
      <c r="L68" s="46" t="s">
        <v>31</v>
      </c>
      <c r="M68" s="46" t="s">
        <v>31</v>
      </c>
      <c r="N68" s="46"/>
      <c r="O68" s="46"/>
      <c r="P68" s="46"/>
      <c r="Q68" s="46"/>
      <c r="R68" s="46"/>
      <c r="S68" s="46"/>
      <c r="T68" s="46"/>
      <c r="U68" s="46"/>
    </row>
    <row r="69" spans="1:21">
      <c r="A69" s="47" t="s">
        <v>1173</v>
      </c>
      <c r="B69" s="384">
        <f>B77</f>
        <v>0.06</v>
      </c>
      <c r="C69" s="46" t="s">
        <v>37</v>
      </c>
      <c r="D69" s="400" t="s">
        <v>2</v>
      </c>
      <c r="E69" s="46" t="s">
        <v>29</v>
      </c>
      <c r="F69" s="32" t="s">
        <v>14</v>
      </c>
      <c r="G69" s="46" t="s">
        <v>33</v>
      </c>
      <c r="H69" s="46">
        <v>1</v>
      </c>
      <c r="I69" s="407">
        <f>B69</f>
        <v>0.06</v>
      </c>
      <c r="J69" s="46" t="s">
        <v>31</v>
      </c>
      <c r="K69" s="46" t="s">
        <v>31</v>
      </c>
      <c r="L69" s="46" t="s">
        <v>31</v>
      </c>
      <c r="M69" s="46" t="s">
        <v>31</v>
      </c>
      <c r="N69" s="46"/>
      <c r="O69" s="375"/>
      <c r="P69" s="386"/>
      <c r="Q69" s="46" t="s">
        <v>221</v>
      </c>
      <c r="R69" s="384">
        <v>0.01</v>
      </c>
      <c r="S69" s="46"/>
      <c r="T69" s="46"/>
      <c r="U69" s="46"/>
    </row>
    <row r="70" spans="1:21">
      <c r="A70" s="47" t="s">
        <v>1174</v>
      </c>
      <c r="B70" s="342">
        <v>1</v>
      </c>
      <c r="C70" s="46" t="s">
        <v>18</v>
      </c>
      <c r="D70" s="400" t="s">
        <v>2</v>
      </c>
      <c r="E70" s="46" t="s">
        <v>29</v>
      </c>
      <c r="F70" s="32" t="s">
        <v>14</v>
      </c>
      <c r="G70" s="46" t="s">
        <v>33</v>
      </c>
      <c r="H70" s="46">
        <v>1</v>
      </c>
      <c r="I70" s="407">
        <f>B70</f>
        <v>1</v>
      </c>
      <c r="J70" s="46" t="s">
        <v>31</v>
      </c>
      <c r="K70" s="46" t="s">
        <v>31</v>
      </c>
      <c r="L70" s="46" t="s">
        <v>31</v>
      </c>
      <c r="M70" s="46" t="s">
        <v>31</v>
      </c>
      <c r="N70" s="46"/>
      <c r="O70" s="375"/>
      <c r="P70" s="432"/>
      <c r="Q70" s="46"/>
      <c r="R70" s="342"/>
      <c r="S70" s="46"/>
      <c r="T70" s="46"/>
      <c r="U70" s="46"/>
    </row>
    <row r="71" spans="1:21">
      <c r="A71" s="338" t="s">
        <v>75</v>
      </c>
      <c r="B71" s="342">
        <f>R71</f>
        <v>0.41</v>
      </c>
      <c r="C71" s="46" t="s">
        <v>39</v>
      </c>
      <c r="D71" s="46" t="s">
        <v>40</v>
      </c>
      <c r="E71" s="46" t="s">
        <v>29</v>
      </c>
      <c r="F71" s="32" t="s">
        <v>35</v>
      </c>
      <c r="G71" s="46" t="s">
        <v>33</v>
      </c>
      <c r="H71" s="46">
        <v>2</v>
      </c>
      <c r="I71" s="46">
        <f t="shared" ref="I71" si="3">LN(B71)</f>
        <v>-0.89159811928378363</v>
      </c>
      <c r="J71" s="46">
        <v>7.2284161474004766E-2</v>
      </c>
      <c r="K71" s="46" t="s">
        <v>31</v>
      </c>
      <c r="L71" s="46" t="s">
        <v>31</v>
      </c>
      <c r="M71" s="46" t="s">
        <v>31</v>
      </c>
      <c r="N71" s="46"/>
      <c r="O71" s="375" t="s">
        <v>216</v>
      </c>
      <c r="P71" s="432">
        <v>0.41</v>
      </c>
      <c r="Q71" s="46" t="s">
        <v>216</v>
      </c>
      <c r="R71" s="342">
        <f>P71</f>
        <v>0.41</v>
      </c>
      <c r="S71" s="46"/>
      <c r="T71" s="46"/>
      <c r="U71" s="46"/>
    </row>
    <row r="72" spans="1:21">
      <c r="A72" s="362" t="s">
        <v>5</v>
      </c>
      <c r="B72" s="148" t="s">
        <v>1173</v>
      </c>
      <c r="C72" s="364"/>
      <c r="D72" s="345"/>
      <c r="E72" s="345"/>
      <c r="F72" s="345"/>
      <c r="G72" s="345"/>
      <c r="H72" s="345"/>
      <c r="I72" s="345"/>
      <c r="J72" s="345"/>
      <c r="K72" s="345"/>
      <c r="L72" s="345"/>
      <c r="M72" s="345"/>
      <c r="N72" s="46"/>
      <c r="O72" s="46"/>
      <c r="P72" s="46"/>
      <c r="Q72" s="46"/>
      <c r="R72" s="46"/>
      <c r="S72" s="46"/>
      <c r="T72" s="46"/>
      <c r="U72" s="46"/>
    </row>
    <row r="73" spans="1:21">
      <c r="A73" s="338" t="s">
        <v>7</v>
      </c>
      <c r="B73" s="46" t="s">
        <v>779</v>
      </c>
      <c r="C73" s="337"/>
      <c r="D73" s="46"/>
      <c r="E73" s="46"/>
      <c r="F73" s="46"/>
      <c r="G73" s="46"/>
      <c r="H73" s="46"/>
      <c r="I73" s="46"/>
      <c r="J73" s="46"/>
      <c r="K73" s="46"/>
      <c r="L73" s="46"/>
      <c r="M73" s="46"/>
      <c r="N73" s="46"/>
      <c r="O73" s="46"/>
      <c r="P73" s="46"/>
      <c r="Q73" s="46"/>
      <c r="R73" s="46"/>
      <c r="S73" s="46"/>
      <c r="T73" s="46"/>
      <c r="U73" s="46"/>
    </row>
    <row r="74" spans="1:21">
      <c r="A74" s="416" t="s">
        <v>9</v>
      </c>
      <c r="B74" s="46" t="s">
        <v>1175</v>
      </c>
      <c r="C74" s="337"/>
      <c r="D74" s="46"/>
      <c r="E74" s="46"/>
      <c r="F74" s="46"/>
      <c r="G74" s="46"/>
      <c r="H74" s="46"/>
      <c r="I74" s="46"/>
      <c r="J74" s="46"/>
      <c r="K74" s="46"/>
      <c r="L74" s="46"/>
      <c r="M74" s="46"/>
      <c r="N74" s="46"/>
      <c r="O74" s="46"/>
      <c r="P74" s="46"/>
      <c r="Q74" s="46"/>
      <c r="R74" s="46"/>
      <c r="S74" s="46"/>
      <c r="T74" s="46"/>
      <c r="U74" s="46"/>
    </row>
    <row r="75" spans="1:21" ht="15" customHeight="1">
      <c r="A75" s="338" t="s">
        <v>11</v>
      </c>
      <c r="B75" s="339" t="s">
        <v>789</v>
      </c>
      <c r="C75" s="46"/>
      <c r="D75" s="46"/>
      <c r="E75" s="46"/>
      <c r="F75" s="46"/>
      <c r="G75" s="46"/>
      <c r="H75" s="46"/>
      <c r="I75" s="46"/>
      <c r="J75" s="46"/>
      <c r="K75" s="46"/>
      <c r="L75" s="46"/>
      <c r="M75" s="46"/>
      <c r="N75" s="46"/>
      <c r="O75" s="46"/>
      <c r="P75" s="46"/>
      <c r="Q75" s="46"/>
      <c r="R75" s="46"/>
      <c r="S75" s="46"/>
      <c r="T75" s="46"/>
      <c r="U75" s="46"/>
    </row>
    <row r="76" spans="1:21">
      <c r="A76" s="338" t="s">
        <v>13</v>
      </c>
      <c r="B76" s="46" t="s">
        <v>14</v>
      </c>
      <c r="C76" s="46"/>
      <c r="D76" s="46"/>
      <c r="E76" s="46"/>
      <c r="F76" s="46"/>
      <c r="G76" s="46"/>
      <c r="H76" s="46"/>
      <c r="I76" s="46"/>
      <c r="J76" s="46"/>
      <c r="K76" s="46"/>
      <c r="L76" s="46"/>
      <c r="M76" s="46"/>
      <c r="N76" s="46"/>
      <c r="O76" s="46"/>
      <c r="P76" s="46"/>
      <c r="Q76" s="46"/>
      <c r="R76" s="46"/>
      <c r="S76" s="46"/>
      <c r="T76" s="46"/>
      <c r="U76" s="46"/>
    </row>
    <row r="77" spans="1:21">
      <c r="A77" s="338" t="s">
        <v>15</v>
      </c>
      <c r="B77" s="350">
        <f>B82</f>
        <v>0.06</v>
      </c>
      <c r="C77" s="46"/>
      <c r="D77" s="46"/>
      <c r="E77" s="46"/>
      <c r="F77" s="46"/>
      <c r="G77" s="46"/>
      <c r="H77" s="46"/>
      <c r="I77" s="46"/>
      <c r="J77" s="46"/>
      <c r="K77" s="46"/>
      <c r="L77" s="46"/>
      <c r="M77" s="46"/>
      <c r="N77" s="46"/>
      <c r="O77" s="46"/>
      <c r="P77" s="46"/>
      <c r="Q77" s="46"/>
      <c r="R77" s="46"/>
      <c r="S77" s="46"/>
      <c r="T77" s="46"/>
      <c r="U77" s="46"/>
    </row>
    <row r="78" spans="1:21">
      <c r="A78" s="338" t="s">
        <v>16</v>
      </c>
      <c r="B78" s="46" t="s">
        <v>17</v>
      </c>
      <c r="C78" s="46"/>
      <c r="D78" s="46"/>
      <c r="E78" s="46"/>
      <c r="F78" s="46"/>
      <c r="G78" s="46"/>
      <c r="H78" s="46"/>
      <c r="I78" s="46"/>
      <c r="J78" s="46"/>
      <c r="K78" s="46"/>
      <c r="L78" s="46"/>
      <c r="M78" s="46"/>
      <c r="N78" s="46"/>
      <c r="O78" s="46"/>
      <c r="P78" s="46"/>
      <c r="Q78" s="46"/>
      <c r="R78" s="46"/>
      <c r="S78" s="46"/>
      <c r="T78" s="46"/>
      <c r="U78" s="46"/>
    </row>
    <row r="79" spans="1:21">
      <c r="A79" s="338" t="s">
        <v>18</v>
      </c>
      <c r="B79" s="46" t="s">
        <v>37</v>
      </c>
      <c r="C79" s="46"/>
      <c r="D79" s="46"/>
      <c r="E79" s="46"/>
      <c r="F79" s="46"/>
      <c r="G79" s="46"/>
      <c r="H79" s="46"/>
      <c r="I79" s="46"/>
      <c r="J79" s="46"/>
      <c r="K79" s="46"/>
      <c r="L79" s="46"/>
      <c r="M79" s="46"/>
      <c r="N79" s="46"/>
      <c r="O79" s="46"/>
      <c r="P79" s="46"/>
      <c r="Q79" s="46"/>
      <c r="R79" s="46"/>
      <c r="S79" s="46"/>
      <c r="T79" s="46"/>
      <c r="U79" s="46"/>
    </row>
    <row r="80" spans="1:21">
      <c r="A80" s="335" t="s">
        <v>19</v>
      </c>
      <c r="B80" s="46"/>
      <c r="C80" s="46"/>
      <c r="D80" s="46"/>
      <c r="E80" s="46"/>
      <c r="F80" s="46"/>
      <c r="G80" s="46"/>
      <c r="H80" s="46"/>
      <c r="I80" s="46"/>
      <c r="J80" s="46"/>
      <c r="K80" s="46"/>
      <c r="L80" s="46"/>
      <c r="M80" s="46"/>
      <c r="N80" s="46"/>
      <c r="O80" s="46"/>
      <c r="P80" s="46"/>
      <c r="Q80" s="46"/>
      <c r="R80" s="46"/>
      <c r="S80" s="46"/>
      <c r="T80" s="46"/>
      <c r="U80" s="46"/>
    </row>
    <row r="81" spans="1:21">
      <c r="A81" s="335" t="s">
        <v>20</v>
      </c>
      <c r="B81" s="336" t="s">
        <v>21</v>
      </c>
      <c r="C81" s="336" t="s">
        <v>18</v>
      </c>
      <c r="D81" s="336" t="s">
        <v>22</v>
      </c>
      <c r="E81" s="336" t="s">
        <v>7</v>
      </c>
      <c r="F81" s="336" t="s">
        <v>13</v>
      </c>
      <c r="G81" s="336" t="s">
        <v>16</v>
      </c>
      <c r="H81" s="336" t="s">
        <v>23</v>
      </c>
      <c r="I81" s="336" t="s">
        <v>24</v>
      </c>
      <c r="J81" s="336" t="s">
        <v>25</v>
      </c>
      <c r="K81" s="336" t="s">
        <v>26</v>
      </c>
      <c r="L81" s="336" t="s">
        <v>27</v>
      </c>
      <c r="M81" s="336" t="s">
        <v>28</v>
      </c>
      <c r="N81" s="336" t="s">
        <v>11</v>
      </c>
      <c r="O81" s="46"/>
      <c r="P81" s="46"/>
      <c r="Q81" s="46"/>
      <c r="R81" s="46"/>
      <c r="S81" s="46"/>
      <c r="T81" s="46"/>
      <c r="U81" s="46"/>
    </row>
    <row r="82" spans="1:21">
      <c r="A82" s="47" t="s">
        <v>1173</v>
      </c>
      <c r="B82" s="350">
        <v>0.06</v>
      </c>
      <c r="C82" s="46" t="s">
        <v>37</v>
      </c>
      <c r="D82" s="400" t="s">
        <v>2</v>
      </c>
      <c r="E82" s="46" t="s">
        <v>29</v>
      </c>
      <c r="F82" s="32" t="s">
        <v>14</v>
      </c>
      <c r="G82" s="46" t="s">
        <v>30</v>
      </c>
      <c r="H82" s="46">
        <v>1</v>
      </c>
      <c r="I82" s="407">
        <f>B82</f>
        <v>0.06</v>
      </c>
      <c r="J82" s="46" t="s">
        <v>31</v>
      </c>
      <c r="K82" s="46" t="s">
        <v>31</v>
      </c>
      <c r="L82" s="46" t="s">
        <v>31</v>
      </c>
      <c r="M82" s="46" t="s">
        <v>31</v>
      </c>
      <c r="N82" s="46"/>
      <c r="O82" s="375"/>
      <c r="P82" s="386"/>
      <c r="Q82" s="46" t="s">
        <v>221</v>
      </c>
      <c r="R82" s="384">
        <v>0.01</v>
      </c>
      <c r="S82" s="46"/>
      <c r="T82" s="46"/>
      <c r="U82" s="46"/>
    </row>
    <row r="83" spans="1:21">
      <c r="A83" s="47" t="s">
        <v>655</v>
      </c>
      <c r="B83" s="62">
        <v>0.06</v>
      </c>
      <c r="C83" s="46" t="s">
        <v>37</v>
      </c>
      <c r="D83" s="46" t="s">
        <v>40</v>
      </c>
      <c r="E83" s="46" t="s">
        <v>29</v>
      </c>
      <c r="F83" s="32" t="s">
        <v>58</v>
      </c>
      <c r="G83" s="46" t="s">
        <v>33</v>
      </c>
      <c r="H83" s="46">
        <v>1</v>
      </c>
      <c r="I83" s="407">
        <f>B83</f>
        <v>0.06</v>
      </c>
      <c r="J83" s="46" t="s">
        <v>31</v>
      </c>
      <c r="K83" s="46" t="s">
        <v>31</v>
      </c>
      <c r="L83" s="46" t="s">
        <v>31</v>
      </c>
      <c r="M83" s="46" t="s">
        <v>31</v>
      </c>
      <c r="N83" s="46"/>
      <c r="O83" s="375"/>
      <c r="P83" s="432"/>
      <c r="Q83" s="46"/>
      <c r="R83" s="342"/>
      <c r="S83" s="46"/>
      <c r="T83" s="46"/>
      <c r="U83" s="46"/>
    </row>
    <row r="84" spans="1:21">
      <c r="A84" s="47" t="s">
        <v>708</v>
      </c>
      <c r="B84" s="46">
        <v>0.06</v>
      </c>
      <c r="C84" s="46" t="s">
        <v>37</v>
      </c>
      <c r="D84" s="46" t="s">
        <v>40</v>
      </c>
      <c r="E84" s="46" t="s">
        <v>29</v>
      </c>
      <c r="F84" s="46" t="s">
        <v>58</v>
      </c>
      <c r="G84" s="46" t="s">
        <v>33</v>
      </c>
      <c r="H84" s="46">
        <v>1</v>
      </c>
      <c r="I84" s="407">
        <f>B84</f>
        <v>0.06</v>
      </c>
      <c r="J84" s="46" t="s">
        <v>31</v>
      </c>
      <c r="K84" s="46" t="s">
        <v>31</v>
      </c>
      <c r="L84" s="46" t="s">
        <v>31</v>
      </c>
      <c r="M84" s="46" t="s">
        <v>31</v>
      </c>
      <c r="N84" s="46"/>
      <c r="O84" s="46"/>
      <c r="P84" s="46"/>
      <c r="Q84" s="46"/>
      <c r="R84" s="46"/>
      <c r="S84" s="46"/>
      <c r="T84" s="46"/>
      <c r="U84" s="46"/>
    </row>
    <row r="85" spans="1:21" s="41" customFormat="1">
      <c r="A85" s="362" t="s">
        <v>5</v>
      </c>
      <c r="B85" s="483" t="s">
        <v>1174</v>
      </c>
      <c r="C85" s="364"/>
      <c r="D85" s="345"/>
      <c r="E85" s="345"/>
      <c r="F85" s="345"/>
      <c r="G85" s="345"/>
      <c r="H85" s="345"/>
      <c r="I85" s="345"/>
      <c r="J85" s="345"/>
      <c r="K85" s="345"/>
      <c r="L85" s="345"/>
      <c r="M85" s="345"/>
      <c r="N85" s="345"/>
      <c r="O85" s="345"/>
      <c r="P85" s="345"/>
      <c r="Q85" s="345"/>
      <c r="R85" s="345"/>
      <c r="S85" s="345"/>
      <c r="T85" s="345"/>
      <c r="U85" s="345"/>
    </row>
    <row r="86" spans="1:21">
      <c r="A86" s="338" t="s">
        <v>7</v>
      </c>
      <c r="B86" s="46" t="s">
        <v>779</v>
      </c>
      <c r="C86" s="337"/>
      <c r="D86" s="46"/>
      <c r="E86" s="46"/>
      <c r="F86" s="46"/>
      <c r="G86" s="46"/>
      <c r="H86" s="46"/>
      <c r="I86" s="46"/>
      <c r="J86" s="46"/>
      <c r="K86" s="46"/>
      <c r="L86" s="46"/>
      <c r="M86" s="46"/>
      <c r="N86" s="46"/>
      <c r="O86" s="46"/>
      <c r="P86" s="46"/>
      <c r="Q86" s="46"/>
      <c r="R86" s="46"/>
      <c r="S86" s="46"/>
      <c r="T86" s="46"/>
      <c r="U86" s="46"/>
    </row>
    <row r="87" spans="1:21">
      <c r="A87" s="416" t="s">
        <v>9</v>
      </c>
      <c r="B87" s="46" t="s">
        <v>1176</v>
      </c>
      <c r="C87" s="337"/>
      <c r="D87" s="46"/>
      <c r="E87" s="46"/>
      <c r="F87" s="46"/>
      <c r="G87" s="46"/>
      <c r="H87" s="46"/>
      <c r="I87" s="46"/>
      <c r="J87" s="46"/>
      <c r="K87" s="46"/>
      <c r="L87" s="46"/>
      <c r="M87" s="46"/>
      <c r="N87" s="46"/>
      <c r="O87" s="46"/>
      <c r="P87" s="46"/>
      <c r="Q87" s="46"/>
      <c r="R87" s="46"/>
      <c r="S87" s="46"/>
      <c r="T87" s="46"/>
      <c r="U87" s="46"/>
    </row>
    <row r="88" spans="1:21" ht="15.75" customHeight="1">
      <c r="A88" s="338" t="s">
        <v>11</v>
      </c>
      <c r="B88" s="339" t="s">
        <v>789</v>
      </c>
      <c r="C88" s="46"/>
      <c r="D88" s="46"/>
      <c r="E88" s="46"/>
      <c r="F88" s="46"/>
      <c r="G88" s="46"/>
      <c r="H88" s="46"/>
      <c r="I88" s="46"/>
      <c r="J88" s="46"/>
      <c r="K88" s="46"/>
      <c r="L88" s="46"/>
      <c r="M88" s="46"/>
      <c r="N88" s="46"/>
      <c r="O88" s="46"/>
      <c r="P88" s="46"/>
      <c r="Q88" s="46"/>
      <c r="R88" s="46"/>
      <c r="S88" s="46"/>
      <c r="T88" s="46"/>
      <c r="U88" s="46"/>
    </row>
    <row r="89" spans="1:21">
      <c r="A89" s="338" t="s">
        <v>13</v>
      </c>
      <c r="B89" s="46" t="s">
        <v>14</v>
      </c>
      <c r="C89" s="46"/>
      <c r="D89" s="46"/>
      <c r="E89" s="46"/>
      <c r="F89" s="46"/>
      <c r="G89" s="46"/>
      <c r="H89" s="46"/>
      <c r="I89" s="46"/>
      <c r="J89" s="46"/>
      <c r="K89" s="46"/>
      <c r="L89" s="46"/>
      <c r="M89" s="46"/>
      <c r="N89" s="46"/>
      <c r="O89" s="46"/>
      <c r="P89" s="46"/>
      <c r="Q89" s="46"/>
      <c r="R89" s="46"/>
      <c r="S89" s="46"/>
      <c r="T89" s="46"/>
      <c r="U89" s="46"/>
    </row>
    <row r="90" spans="1:21">
      <c r="A90" s="338" t="s">
        <v>15</v>
      </c>
      <c r="B90" s="46">
        <v>1</v>
      </c>
      <c r="C90" s="46"/>
      <c r="D90" s="46"/>
      <c r="E90" s="46"/>
      <c r="F90" s="46"/>
      <c r="G90" s="46"/>
      <c r="H90" s="46"/>
      <c r="I90" s="46"/>
      <c r="J90" s="46"/>
      <c r="K90" s="46"/>
      <c r="L90" s="46"/>
      <c r="M90" s="46"/>
      <c r="N90" s="46"/>
      <c r="O90" s="46"/>
      <c r="P90" s="46"/>
      <c r="Q90" s="46"/>
      <c r="R90" s="46"/>
      <c r="S90" s="46"/>
      <c r="T90" s="46"/>
      <c r="U90" s="46"/>
    </row>
    <row r="91" spans="1:21">
      <c r="A91" s="338" t="s">
        <v>16</v>
      </c>
      <c r="B91" s="46" t="s">
        <v>17</v>
      </c>
      <c r="C91" s="46"/>
      <c r="D91" s="46"/>
      <c r="E91" s="46"/>
      <c r="F91" s="46"/>
      <c r="G91" s="46"/>
      <c r="H91" s="46"/>
      <c r="I91" s="46"/>
      <c r="J91" s="46"/>
      <c r="K91" s="46"/>
      <c r="L91" s="46"/>
      <c r="M91" s="46"/>
      <c r="N91" s="46"/>
      <c r="O91" s="46"/>
      <c r="P91" s="46"/>
      <c r="Q91" s="46"/>
      <c r="R91" s="46"/>
      <c r="S91" s="46"/>
      <c r="T91" s="46"/>
      <c r="U91" s="46"/>
    </row>
    <row r="92" spans="1:21">
      <c r="A92" s="338" t="s">
        <v>18</v>
      </c>
      <c r="B92" s="46" t="s">
        <v>18</v>
      </c>
      <c r="C92" s="46"/>
      <c r="D92" s="46"/>
      <c r="E92" s="46"/>
      <c r="F92" s="46"/>
      <c r="G92" s="46"/>
      <c r="H92" s="46"/>
      <c r="I92" s="46"/>
      <c r="J92" s="46"/>
      <c r="K92" s="46"/>
      <c r="L92" s="46"/>
      <c r="M92" s="46"/>
      <c r="N92" s="46"/>
      <c r="O92" s="46"/>
      <c r="P92" s="46"/>
      <c r="Q92" s="46"/>
      <c r="R92" s="46"/>
      <c r="S92" s="46"/>
      <c r="T92" s="46"/>
      <c r="U92" s="46"/>
    </row>
    <row r="93" spans="1:21">
      <c r="A93" s="335" t="s">
        <v>19</v>
      </c>
      <c r="B93" s="46"/>
      <c r="C93" s="46"/>
      <c r="D93" s="46"/>
      <c r="E93" s="46"/>
      <c r="F93" s="46"/>
      <c r="G93" s="46"/>
      <c r="H93" s="46"/>
      <c r="I93" s="46"/>
      <c r="J93" s="46"/>
      <c r="K93" s="46"/>
      <c r="L93" s="46"/>
      <c r="M93" s="46"/>
      <c r="N93" s="46"/>
      <c r="O93" s="46"/>
      <c r="P93" s="46"/>
      <c r="Q93" s="46"/>
      <c r="R93" s="46"/>
      <c r="S93" s="46"/>
      <c r="T93" s="46"/>
      <c r="U93" s="46"/>
    </row>
    <row r="94" spans="1:21">
      <c r="A94" s="335" t="s">
        <v>20</v>
      </c>
      <c r="B94" s="336" t="s">
        <v>21</v>
      </c>
      <c r="C94" s="336" t="s">
        <v>18</v>
      </c>
      <c r="D94" s="336" t="s">
        <v>22</v>
      </c>
      <c r="E94" s="336" t="s">
        <v>7</v>
      </c>
      <c r="F94" s="336" t="s">
        <v>13</v>
      </c>
      <c r="G94" s="336" t="s">
        <v>16</v>
      </c>
      <c r="H94" s="336" t="s">
        <v>23</v>
      </c>
      <c r="I94" s="336" t="s">
        <v>24</v>
      </c>
      <c r="J94" s="336" t="s">
        <v>25</v>
      </c>
      <c r="K94" s="336" t="s">
        <v>26</v>
      </c>
      <c r="L94" s="336" t="s">
        <v>27</v>
      </c>
      <c r="M94" s="336" t="s">
        <v>28</v>
      </c>
      <c r="N94" s="336" t="s">
        <v>11</v>
      </c>
      <c r="O94" s="46"/>
      <c r="P94" s="46"/>
      <c r="Q94" s="46"/>
      <c r="R94" s="46"/>
      <c r="S94" s="46"/>
      <c r="T94" s="46"/>
      <c r="U94" s="46"/>
    </row>
    <row r="95" spans="1:21">
      <c r="A95" s="47" t="s">
        <v>1174</v>
      </c>
      <c r="B95" s="342">
        <v>1</v>
      </c>
      <c r="C95" s="46" t="s">
        <v>18</v>
      </c>
      <c r="D95" s="400" t="s">
        <v>2</v>
      </c>
      <c r="E95" s="46" t="s">
        <v>29</v>
      </c>
      <c r="F95" s="32" t="s">
        <v>14</v>
      </c>
      <c r="G95" s="46" t="s">
        <v>30</v>
      </c>
      <c r="H95" s="46">
        <v>1</v>
      </c>
      <c r="I95" s="407">
        <f>B95</f>
        <v>1</v>
      </c>
      <c r="J95" s="46" t="s">
        <v>31</v>
      </c>
      <c r="K95" s="46" t="s">
        <v>31</v>
      </c>
      <c r="L95" s="46" t="s">
        <v>31</v>
      </c>
      <c r="M95" s="46" t="s">
        <v>31</v>
      </c>
      <c r="N95" s="46"/>
      <c r="O95" s="375"/>
      <c r="P95" s="432"/>
      <c r="Q95" s="46"/>
      <c r="R95" s="342"/>
      <c r="S95" s="46"/>
      <c r="T95" s="46"/>
      <c r="U95" s="46"/>
    </row>
    <row r="96" spans="1:21">
      <c r="A96" s="47" t="s">
        <v>1177</v>
      </c>
      <c r="B96" s="46">
        <v>1</v>
      </c>
      <c r="C96" s="46" t="s">
        <v>18</v>
      </c>
      <c r="D96" s="400" t="s">
        <v>2</v>
      </c>
      <c r="E96" s="46" t="s">
        <v>29</v>
      </c>
      <c r="F96" s="32" t="s">
        <v>14</v>
      </c>
      <c r="G96" s="46" t="s">
        <v>33</v>
      </c>
      <c r="H96" s="46">
        <v>1</v>
      </c>
      <c r="I96" s="407">
        <f>B96</f>
        <v>1</v>
      </c>
      <c r="J96" s="46" t="s">
        <v>31</v>
      </c>
      <c r="K96" s="46" t="s">
        <v>31</v>
      </c>
      <c r="L96" s="46" t="s">
        <v>31</v>
      </c>
      <c r="M96" s="46" t="s">
        <v>31</v>
      </c>
      <c r="N96" s="46"/>
      <c r="O96" s="375"/>
      <c r="P96" s="432"/>
      <c r="Q96" s="46"/>
      <c r="R96" s="46"/>
      <c r="S96" s="46"/>
      <c r="T96" s="46"/>
      <c r="U96" s="46"/>
    </row>
    <row r="97" spans="1:21">
      <c r="A97" s="338" t="s">
        <v>75</v>
      </c>
      <c r="B97" s="342">
        <f>R97</f>
        <v>0.05</v>
      </c>
      <c r="C97" s="46" t="s">
        <v>39</v>
      </c>
      <c r="D97" s="46" t="s">
        <v>40</v>
      </c>
      <c r="E97" s="46" t="s">
        <v>29</v>
      </c>
      <c r="F97" s="32" t="s">
        <v>35</v>
      </c>
      <c r="G97" s="46" t="s">
        <v>33</v>
      </c>
      <c r="H97" s="46">
        <v>2</v>
      </c>
      <c r="I97" s="46">
        <f t="shared" ref="I97" si="4">LN(B97)</f>
        <v>-2.9957322735539909</v>
      </c>
      <c r="J97" s="46">
        <v>7.2284161474004766E-2</v>
      </c>
      <c r="K97" s="46" t="s">
        <v>31</v>
      </c>
      <c r="L97" s="46" t="s">
        <v>31</v>
      </c>
      <c r="M97" s="46" t="s">
        <v>31</v>
      </c>
      <c r="N97" s="46"/>
      <c r="O97" s="375" t="s">
        <v>216</v>
      </c>
      <c r="P97" s="432">
        <v>0.05</v>
      </c>
      <c r="Q97" s="46" t="s">
        <v>216</v>
      </c>
      <c r="R97" s="342">
        <f>P97</f>
        <v>0.05</v>
      </c>
      <c r="S97" s="46"/>
      <c r="T97" s="46"/>
      <c r="U97" s="46"/>
    </row>
    <row r="98" spans="1:21" s="41" customFormat="1">
      <c r="A98" s="362" t="s">
        <v>5</v>
      </c>
      <c r="B98" s="148" t="s">
        <v>1177</v>
      </c>
      <c r="C98" s="364"/>
      <c r="D98" s="345"/>
      <c r="E98" s="345"/>
      <c r="F98" s="345"/>
      <c r="G98" s="345"/>
      <c r="H98" s="345"/>
      <c r="I98" s="345"/>
      <c r="J98" s="345"/>
      <c r="K98" s="345"/>
      <c r="L98" s="345"/>
      <c r="M98" s="345"/>
      <c r="N98" s="345"/>
      <c r="O98" s="345"/>
      <c r="P98" s="345"/>
      <c r="Q98" s="345"/>
      <c r="R98" s="345"/>
      <c r="S98" s="345"/>
      <c r="T98" s="345"/>
      <c r="U98" s="345"/>
    </row>
    <row r="99" spans="1:21">
      <c r="A99" s="338" t="s">
        <v>7</v>
      </c>
      <c r="B99" s="46" t="s">
        <v>779</v>
      </c>
      <c r="C99" s="337"/>
      <c r="D99" s="46"/>
      <c r="E99" s="46"/>
      <c r="F99" s="46"/>
      <c r="G99" s="46"/>
      <c r="H99" s="46"/>
      <c r="I99" s="46"/>
      <c r="J99" s="46"/>
      <c r="K99" s="46"/>
      <c r="L99" s="46"/>
      <c r="M99" s="46"/>
      <c r="N99" s="46"/>
      <c r="O99" s="46"/>
      <c r="P99" s="46"/>
      <c r="Q99" s="46"/>
      <c r="R99" s="46"/>
      <c r="S99" s="46"/>
      <c r="T99" s="46"/>
      <c r="U99" s="46"/>
    </row>
    <row r="100" spans="1:21">
      <c r="A100" s="416" t="s">
        <v>9</v>
      </c>
      <c r="B100" s="46" t="s">
        <v>1178</v>
      </c>
      <c r="C100" s="337"/>
      <c r="D100" s="46"/>
      <c r="E100" s="46"/>
      <c r="F100" s="46"/>
      <c r="G100" s="46"/>
      <c r="H100" s="46"/>
      <c r="I100" s="46"/>
      <c r="J100" s="46"/>
      <c r="K100" s="46"/>
      <c r="L100" s="46"/>
      <c r="M100" s="46"/>
      <c r="N100" s="46"/>
      <c r="O100" s="46"/>
      <c r="P100" s="46"/>
      <c r="Q100" s="46"/>
      <c r="R100" s="46"/>
      <c r="S100" s="46"/>
      <c r="T100" s="46"/>
      <c r="U100" s="46"/>
    </row>
    <row r="101" spans="1:21" ht="15.75" customHeight="1">
      <c r="A101" s="338" t="s">
        <v>11</v>
      </c>
      <c r="B101" s="339" t="s">
        <v>789</v>
      </c>
      <c r="C101" s="46"/>
      <c r="D101" s="46"/>
      <c r="E101" s="46"/>
      <c r="F101" s="46"/>
      <c r="G101" s="46"/>
      <c r="H101" s="46"/>
      <c r="I101" s="46"/>
      <c r="J101" s="46"/>
      <c r="K101" s="46"/>
      <c r="L101" s="46"/>
      <c r="M101" s="46"/>
      <c r="N101" s="46"/>
      <c r="O101" s="46"/>
      <c r="P101" s="46"/>
      <c r="Q101" s="46"/>
      <c r="R101" s="46"/>
      <c r="S101" s="46"/>
      <c r="T101" s="46"/>
      <c r="U101" s="46"/>
    </row>
    <row r="102" spans="1:21">
      <c r="A102" s="338" t="s">
        <v>13</v>
      </c>
      <c r="B102" s="46" t="s">
        <v>14</v>
      </c>
      <c r="C102" s="46"/>
      <c r="D102" s="46"/>
      <c r="E102" s="46"/>
      <c r="F102" s="46"/>
      <c r="G102" s="46"/>
      <c r="H102" s="46"/>
      <c r="I102" s="46"/>
      <c r="J102" s="46"/>
      <c r="K102" s="46"/>
      <c r="L102" s="46"/>
      <c r="M102" s="46"/>
      <c r="N102" s="46"/>
      <c r="O102" s="46"/>
      <c r="P102" s="46"/>
      <c r="Q102" s="46"/>
      <c r="R102" s="46"/>
      <c r="S102" s="46"/>
      <c r="T102" s="46"/>
      <c r="U102" s="46"/>
    </row>
    <row r="103" spans="1:21">
      <c r="A103" s="338" t="s">
        <v>15</v>
      </c>
      <c r="B103" s="46">
        <v>1</v>
      </c>
      <c r="C103" s="46"/>
      <c r="D103" s="46"/>
      <c r="E103" s="46"/>
      <c r="F103" s="46"/>
      <c r="G103" s="46"/>
      <c r="H103" s="46"/>
      <c r="I103" s="46"/>
      <c r="J103" s="46"/>
      <c r="K103" s="46"/>
      <c r="L103" s="46"/>
      <c r="M103" s="46"/>
      <c r="N103" s="46"/>
      <c r="O103" s="46"/>
      <c r="P103" s="46"/>
      <c r="Q103" s="46"/>
      <c r="R103" s="46"/>
      <c r="S103" s="46"/>
      <c r="T103" s="46"/>
      <c r="U103" s="46"/>
    </row>
    <row r="104" spans="1:21">
      <c r="A104" s="338" t="s">
        <v>16</v>
      </c>
      <c r="B104" s="46" t="s">
        <v>17</v>
      </c>
      <c r="C104" s="46"/>
      <c r="D104" s="46"/>
      <c r="E104" s="46"/>
      <c r="F104" s="46"/>
      <c r="G104" s="46"/>
      <c r="H104" s="46"/>
      <c r="I104" s="46"/>
      <c r="J104" s="46"/>
      <c r="K104" s="46"/>
      <c r="L104" s="46"/>
      <c r="M104" s="46"/>
      <c r="N104" s="46"/>
      <c r="O104" s="46"/>
      <c r="P104" s="46"/>
      <c r="Q104" s="46"/>
      <c r="R104" s="46"/>
      <c r="S104" s="46"/>
      <c r="T104" s="46"/>
      <c r="U104" s="46"/>
    </row>
    <row r="105" spans="1:21">
      <c r="A105" s="338" t="s">
        <v>18</v>
      </c>
      <c r="B105" s="46" t="s">
        <v>18</v>
      </c>
      <c r="C105" s="46"/>
      <c r="D105" s="46"/>
      <c r="E105" s="46"/>
      <c r="F105" s="46"/>
      <c r="G105" s="46"/>
      <c r="H105" s="46"/>
      <c r="I105" s="46"/>
      <c r="J105" s="46"/>
      <c r="K105" s="46"/>
      <c r="L105" s="46"/>
      <c r="M105" s="46"/>
      <c r="N105" s="46"/>
      <c r="O105" s="46"/>
      <c r="P105" s="46"/>
      <c r="Q105" s="46"/>
      <c r="R105" s="46"/>
      <c r="S105" s="46"/>
      <c r="T105" s="46"/>
      <c r="U105" s="46"/>
    </row>
    <row r="106" spans="1:21">
      <c r="A106" s="335" t="s">
        <v>19</v>
      </c>
      <c r="B106" s="46"/>
      <c r="C106" s="46"/>
      <c r="D106" s="46"/>
      <c r="E106" s="46"/>
      <c r="F106" s="46"/>
      <c r="G106" s="46"/>
      <c r="H106" s="46"/>
      <c r="I106" s="46"/>
      <c r="J106" s="46"/>
      <c r="K106" s="46"/>
      <c r="L106" s="46"/>
      <c r="M106" s="46"/>
      <c r="N106" s="46"/>
      <c r="O106" s="46"/>
      <c r="P106" s="46"/>
      <c r="Q106" s="46"/>
      <c r="R106" s="46"/>
      <c r="S106" s="46"/>
      <c r="T106" s="46"/>
      <c r="U106" s="46"/>
    </row>
    <row r="107" spans="1:21">
      <c r="A107" s="335" t="s">
        <v>20</v>
      </c>
      <c r="B107" s="336" t="s">
        <v>21</v>
      </c>
      <c r="C107" s="336" t="s">
        <v>18</v>
      </c>
      <c r="D107" s="336" t="s">
        <v>22</v>
      </c>
      <c r="E107" s="336" t="s">
        <v>7</v>
      </c>
      <c r="F107" s="336" t="s">
        <v>13</v>
      </c>
      <c r="G107" s="336" t="s">
        <v>16</v>
      </c>
      <c r="H107" s="336" t="s">
        <v>23</v>
      </c>
      <c r="I107" s="336" t="s">
        <v>24</v>
      </c>
      <c r="J107" s="336" t="s">
        <v>25</v>
      </c>
      <c r="K107" s="336" t="s">
        <v>26</v>
      </c>
      <c r="L107" s="336" t="s">
        <v>27</v>
      </c>
      <c r="M107" s="336" t="s">
        <v>28</v>
      </c>
      <c r="N107" s="336" t="s">
        <v>11</v>
      </c>
      <c r="O107" s="46"/>
      <c r="P107" s="46"/>
      <c r="Q107" s="46"/>
      <c r="R107" s="46"/>
      <c r="S107" s="46"/>
      <c r="T107" s="46"/>
      <c r="U107" s="46"/>
    </row>
    <row r="108" spans="1:21">
      <c r="A108" s="47" t="s">
        <v>1177</v>
      </c>
      <c r="B108" s="46">
        <v>1</v>
      </c>
      <c r="C108" s="46" t="s">
        <v>18</v>
      </c>
      <c r="D108" s="46" t="s">
        <v>2</v>
      </c>
      <c r="E108" s="46" t="s">
        <v>29</v>
      </c>
      <c r="F108" s="32" t="s">
        <v>14</v>
      </c>
      <c r="G108" s="46" t="s">
        <v>30</v>
      </c>
      <c r="H108" s="46">
        <v>1</v>
      </c>
      <c r="I108" s="407">
        <f>B108</f>
        <v>1</v>
      </c>
      <c r="J108" s="46" t="s">
        <v>31</v>
      </c>
      <c r="K108" s="46" t="s">
        <v>31</v>
      </c>
      <c r="L108" s="46" t="s">
        <v>31</v>
      </c>
      <c r="M108" s="46" t="s">
        <v>31</v>
      </c>
      <c r="N108" s="46"/>
      <c r="O108" s="46"/>
      <c r="P108" s="460"/>
      <c r="Q108" s="367" t="s">
        <v>1179</v>
      </c>
      <c r="R108" s="46"/>
      <c r="S108" s="46"/>
      <c r="T108" s="46"/>
      <c r="U108" s="46"/>
    </row>
    <row r="109" spans="1:21">
      <c r="A109" s="338" t="s">
        <v>1180</v>
      </c>
      <c r="B109" s="433">
        <f>B133</f>
        <v>3.9E-2</v>
      </c>
      <c r="C109" s="46" t="s">
        <v>113</v>
      </c>
      <c r="D109" s="46" t="s">
        <v>2</v>
      </c>
      <c r="E109" s="46" t="s">
        <v>29</v>
      </c>
      <c r="F109" s="32" t="s">
        <v>14</v>
      </c>
      <c r="G109" s="46" t="s">
        <v>33</v>
      </c>
      <c r="H109" s="46">
        <v>1</v>
      </c>
      <c r="I109" s="407">
        <f>B109</f>
        <v>3.9E-2</v>
      </c>
      <c r="J109" s="46" t="s">
        <v>31</v>
      </c>
      <c r="K109" s="46" t="s">
        <v>31</v>
      </c>
      <c r="L109" s="46" t="s">
        <v>31</v>
      </c>
      <c r="M109" s="46" t="s">
        <v>31</v>
      </c>
      <c r="N109" s="46"/>
      <c r="O109" s="401"/>
      <c r="P109" s="402"/>
      <c r="Q109" s="46">
        <f>0.05/0.27</f>
        <v>0.18518518518518517</v>
      </c>
      <c r="R109" s="46" t="s">
        <v>832</v>
      </c>
      <c r="S109" s="46"/>
      <c r="T109" s="46"/>
      <c r="U109" s="46"/>
    </row>
    <row r="110" spans="1:21">
      <c r="A110" s="46" t="s">
        <v>1134</v>
      </c>
      <c r="B110" s="384">
        <f>R110</f>
        <v>5.5555555555555549E-3</v>
      </c>
      <c r="C110" s="373" t="s">
        <v>113</v>
      </c>
      <c r="D110" s="46" t="s">
        <v>2</v>
      </c>
      <c r="E110" s="46" t="s">
        <v>29</v>
      </c>
      <c r="F110" s="32" t="s">
        <v>14</v>
      </c>
      <c r="G110" s="46" t="s">
        <v>33</v>
      </c>
      <c r="H110" s="46">
        <v>1</v>
      </c>
      <c r="I110" s="407">
        <f>B110</f>
        <v>5.5555555555555549E-3</v>
      </c>
      <c r="J110" s="46" t="s">
        <v>31</v>
      </c>
      <c r="K110" s="46" t="s">
        <v>31</v>
      </c>
      <c r="L110" s="46" t="s">
        <v>31</v>
      </c>
      <c r="M110" s="46" t="s">
        <v>31</v>
      </c>
      <c r="N110" s="46"/>
      <c r="O110" s="434" t="s">
        <v>575</v>
      </c>
      <c r="P110" s="435">
        <v>30</v>
      </c>
      <c r="R110" s="384">
        <f>P110*0.001*Q109</f>
        <v>5.5555555555555549E-3</v>
      </c>
      <c r="S110" s="46"/>
      <c r="T110" s="46"/>
      <c r="U110" s="46"/>
    </row>
    <row r="111" spans="1:21">
      <c r="A111" s="46" t="s">
        <v>1181</v>
      </c>
      <c r="B111" s="46">
        <v>1</v>
      </c>
      <c r="C111" s="46" t="s">
        <v>18</v>
      </c>
      <c r="D111" s="46" t="s">
        <v>2</v>
      </c>
      <c r="E111" s="46" t="s">
        <v>29</v>
      </c>
      <c r="F111" s="32" t="s">
        <v>14</v>
      </c>
      <c r="G111" s="46" t="s">
        <v>33</v>
      </c>
      <c r="H111" s="46">
        <v>1</v>
      </c>
      <c r="I111" s="407">
        <f>B111</f>
        <v>1</v>
      </c>
      <c r="J111" s="46" t="s">
        <v>31</v>
      </c>
      <c r="K111" s="46" t="s">
        <v>31</v>
      </c>
      <c r="L111" s="46" t="s">
        <v>31</v>
      </c>
      <c r="M111" s="46" t="s">
        <v>31</v>
      </c>
      <c r="N111" s="46"/>
      <c r="O111" s="401"/>
      <c r="P111" s="402"/>
      <c r="Q111" s="46"/>
      <c r="R111" s="46"/>
      <c r="S111" s="46"/>
      <c r="T111" s="46"/>
      <c r="U111" s="46"/>
    </row>
    <row r="112" spans="1:21">
      <c r="A112" s="47" t="s">
        <v>601</v>
      </c>
      <c r="B112" s="384">
        <f>R112</f>
        <v>1.7000000000000001E-4</v>
      </c>
      <c r="C112" s="46" t="s">
        <v>37</v>
      </c>
      <c r="D112" s="46" t="s">
        <v>40</v>
      </c>
      <c r="E112" s="46" t="s">
        <v>29</v>
      </c>
      <c r="F112" s="32" t="s">
        <v>35</v>
      </c>
      <c r="G112" s="46" t="s">
        <v>33</v>
      </c>
      <c r="H112" s="46">
        <v>2</v>
      </c>
      <c r="I112" s="46">
        <f>LN(B112)</f>
        <v>-8.6797121209140116</v>
      </c>
      <c r="J112" s="46">
        <v>2.8722813232690055E-2</v>
      </c>
      <c r="K112" s="46" t="s">
        <v>31</v>
      </c>
      <c r="L112" s="46" t="s">
        <v>31</v>
      </c>
      <c r="M112" s="46" t="s">
        <v>31</v>
      </c>
      <c r="N112" s="46"/>
      <c r="O112" s="434" t="s">
        <v>575</v>
      </c>
      <c r="P112" s="175">
        <v>0.17</v>
      </c>
      <c r="Q112" s="46" t="s">
        <v>221</v>
      </c>
      <c r="R112" s="384">
        <f>P112*10^-3</f>
        <v>1.7000000000000001E-4</v>
      </c>
      <c r="S112" s="46"/>
      <c r="T112" s="46"/>
      <c r="U112" s="46"/>
    </row>
    <row r="113" spans="1:21" s="41" customFormat="1">
      <c r="A113" s="362" t="s">
        <v>5</v>
      </c>
      <c r="B113" s="363" t="s">
        <v>1181</v>
      </c>
      <c r="C113" s="364"/>
      <c r="D113" s="345"/>
      <c r="E113" s="345"/>
      <c r="F113" s="345"/>
      <c r="G113" s="345"/>
      <c r="H113" s="345"/>
      <c r="I113" s="345"/>
      <c r="J113" s="345"/>
      <c r="K113" s="345"/>
      <c r="L113" s="345"/>
      <c r="M113" s="345"/>
      <c r="N113" s="345"/>
      <c r="O113" s="345"/>
      <c r="P113" s="345"/>
      <c r="Q113" s="345"/>
      <c r="R113" s="345"/>
      <c r="S113" s="345"/>
      <c r="T113" s="345"/>
      <c r="U113" s="345"/>
    </row>
    <row r="114" spans="1:21">
      <c r="A114" s="338" t="s">
        <v>7</v>
      </c>
      <c r="B114" s="46" t="s">
        <v>779</v>
      </c>
      <c r="C114" s="337"/>
      <c r="D114" s="46"/>
      <c r="E114" s="46"/>
      <c r="F114" s="46"/>
      <c r="G114" s="46"/>
      <c r="H114" s="46"/>
      <c r="I114" s="46"/>
      <c r="J114" s="46"/>
      <c r="K114" s="46"/>
      <c r="L114" s="46"/>
      <c r="M114" s="46"/>
      <c r="N114" s="46"/>
      <c r="O114" s="46"/>
      <c r="P114" s="46"/>
      <c r="Q114" s="46"/>
      <c r="R114" s="46"/>
      <c r="S114" s="46"/>
      <c r="T114" s="46"/>
      <c r="U114" s="46"/>
    </row>
    <row r="115" spans="1:21">
      <c r="A115" s="416" t="s">
        <v>9</v>
      </c>
      <c r="B115" s="46" t="s">
        <v>1182</v>
      </c>
      <c r="C115" s="337"/>
      <c r="D115" s="46"/>
      <c r="E115" s="46"/>
      <c r="F115" s="46"/>
      <c r="G115" s="46"/>
      <c r="H115" s="46"/>
      <c r="I115" s="46"/>
      <c r="J115" s="46"/>
      <c r="K115" s="46"/>
      <c r="L115" s="46"/>
      <c r="M115" s="46"/>
      <c r="N115" s="46"/>
      <c r="O115" s="46"/>
      <c r="P115" s="46"/>
      <c r="Q115" s="46"/>
      <c r="R115" s="46"/>
      <c r="S115" s="46"/>
      <c r="T115" s="46"/>
      <c r="U115" s="46"/>
    </row>
    <row r="116" spans="1:21" ht="15.75" customHeight="1">
      <c r="A116" s="338" t="s">
        <v>11</v>
      </c>
      <c r="B116" s="339" t="s">
        <v>789</v>
      </c>
      <c r="C116" s="46"/>
      <c r="D116" s="46"/>
      <c r="E116" s="46"/>
      <c r="F116" s="46"/>
      <c r="G116" s="46"/>
      <c r="H116" s="46"/>
      <c r="I116" s="46"/>
      <c r="J116" s="46"/>
      <c r="K116" s="46"/>
      <c r="L116" s="46"/>
      <c r="M116" s="46"/>
      <c r="N116" s="46"/>
      <c r="O116" s="46"/>
      <c r="P116" s="46"/>
      <c r="Q116" s="46"/>
      <c r="R116" s="46"/>
      <c r="S116" s="46"/>
      <c r="T116" s="46"/>
      <c r="U116" s="46"/>
    </row>
    <row r="117" spans="1:21">
      <c r="A117" s="338" t="s">
        <v>13</v>
      </c>
      <c r="B117" s="46" t="s">
        <v>14</v>
      </c>
      <c r="C117" s="46"/>
      <c r="D117" s="46"/>
      <c r="E117" s="46"/>
      <c r="F117" s="46"/>
      <c r="G117" s="46"/>
      <c r="H117" s="46"/>
      <c r="I117" s="46"/>
      <c r="J117" s="46"/>
      <c r="K117" s="46"/>
      <c r="L117" s="46"/>
      <c r="M117" s="46"/>
      <c r="N117" s="46"/>
      <c r="O117" s="46"/>
      <c r="P117" s="46"/>
      <c r="Q117" s="46"/>
      <c r="R117" s="46"/>
      <c r="S117" s="46"/>
      <c r="T117" s="46"/>
      <c r="U117" s="46"/>
    </row>
    <row r="118" spans="1:21">
      <c r="A118" s="338" t="s">
        <v>15</v>
      </c>
      <c r="B118" s="46">
        <v>1</v>
      </c>
      <c r="C118" s="46"/>
      <c r="D118" s="46"/>
      <c r="E118" s="46"/>
      <c r="F118" s="46"/>
      <c r="G118" s="46"/>
      <c r="H118" s="46"/>
      <c r="I118" s="46"/>
      <c r="J118" s="46"/>
      <c r="K118" s="46"/>
      <c r="L118" s="46"/>
      <c r="M118" s="46"/>
      <c r="N118" s="46"/>
      <c r="O118" s="46"/>
      <c r="P118" s="46"/>
      <c r="Q118" s="46"/>
      <c r="R118" s="46"/>
      <c r="S118" s="46"/>
      <c r="T118" s="46"/>
      <c r="U118" s="46"/>
    </row>
    <row r="119" spans="1:21">
      <c r="A119" s="338" t="s">
        <v>16</v>
      </c>
      <c r="B119" s="46" t="s">
        <v>17</v>
      </c>
      <c r="C119" s="46"/>
      <c r="D119" s="46"/>
      <c r="E119" s="46"/>
      <c r="F119" s="46"/>
      <c r="G119" s="46"/>
      <c r="H119" s="46"/>
      <c r="I119" s="46"/>
      <c r="J119" s="46"/>
      <c r="K119" s="46"/>
      <c r="L119" s="46"/>
      <c r="M119" s="46"/>
      <c r="N119" s="46"/>
      <c r="O119" s="46"/>
      <c r="P119" s="46"/>
      <c r="Q119" s="46"/>
      <c r="R119" s="46"/>
      <c r="S119" s="46"/>
      <c r="T119" s="46"/>
      <c r="U119" s="46"/>
    </row>
    <row r="120" spans="1:21">
      <c r="A120" s="338" t="s">
        <v>18</v>
      </c>
      <c r="B120" s="46" t="s">
        <v>18</v>
      </c>
      <c r="C120" s="46"/>
      <c r="D120" s="46"/>
      <c r="E120" s="46"/>
      <c r="F120" s="46"/>
      <c r="G120" s="46"/>
      <c r="H120" s="46"/>
      <c r="I120" s="46"/>
      <c r="J120" s="46"/>
      <c r="K120" s="46"/>
      <c r="L120" s="46"/>
      <c r="M120" s="46"/>
      <c r="N120" s="46"/>
      <c r="O120" s="46"/>
      <c r="P120" s="46"/>
      <c r="Q120" s="46"/>
      <c r="R120" s="46"/>
      <c r="S120" s="46"/>
      <c r="T120" s="46"/>
      <c r="U120" s="46"/>
    </row>
    <row r="121" spans="1:21">
      <c r="A121" s="335" t="s">
        <v>19</v>
      </c>
      <c r="B121" s="46"/>
      <c r="C121" s="46"/>
      <c r="D121" s="46"/>
      <c r="E121" s="46"/>
      <c r="F121" s="46"/>
      <c r="G121" s="46"/>
      <c r="H121" s="46"/>
      <c r="I121" s="46"/>
      <c r="J121" s="46"/>
      <c r="K121" s="46"/>
      <c r="L121" s="46"/>
      <c r="M121" s="46"/>
      <c r="N121" s="46"/>
      <c r="O121" s="46"/>
      <c r="P121" s="46"/>
      <c r="Q121" s="46"/>
      <c r="R121" s="46"/>
      <c r="S121" s="46"/>
      <c r="T121" s="46"/>
      <c r="U121" s="46"/>
    </row>
    <row r="122" spans="1:21">
      <c r="A122" s="335" t="s">
        <v>20</v>
      </c>
      <c r="B122" s="336" t="s">
        <v>21</v>
      </c>
      <c r="C122" s="336" t="s">
        <v>18</v>
      </c>
      <c r="D122" s="336" t="s">
        <v>22</v>
      </c>
      <c r="E122" s="336" t="s">
        <v>7</v>
      </c>
      <c r="F122" s="336" t="s">
        <v>13</v>
      </c>
      <c r="G122" s="336" t="s">
        <v>16</v>
      </c>
      <c r="H122" s="336" t="s">
        <v>23</v>
      </c>
      <c r="I122" s="336" t="s">
        <v>24</v>
      </c>
      <c r="J122" s="336" t="s">
        <v>25</v>
      </c>
      <c r="K122" s="336" t="s">
        <v>26</v>
      </c>
      <c r="L122" s="336" t="s">
        <v>27</v>
      </c>
      <c r="M122" s="336" t="s">
        <v>28</v>
      </c>
      <c r="N122" s="336" t="s">
        <v>11</v>
      </c>
      <c r="O122" s="46"/>
      <c r="P122" s="46"/>
      <c r="Q122" s="46"/>
      <c r="R122" s="46"/>
      <c r="S122" s="46"/>
      <c r="T122" s="46"/>
      <c r="U122" s="46"/>
    </row>
    <row r="123" spans="1:21">
      <c r="A123" s="46" t="s">
        <v>1181</v>
      </c>
      <c r="B123" s="46">
        <v>1</v>
      </c>
      <c r="C123" s="46" t="s">
        <v>18</v>
      </c>
      <c r="D123" s="400" t="s">
        <v>2</v>
      </c>
      <c r="E123" s="46" t="s">
        <v>29</v>
      </c>
      <c r="F123" s="32" t="s">
        <v>14</v>
      </c>
      <c r="G123" s="46" t="s">
        <v>30</v>
      </c>
      <c r="H123" s="46">
        <v>1</v>
      </c>
      <c r="I123" s="407">
        <f>B123</f>
        <v>1</v>
      </c>
      <c r="J123" s="46" t="s">
        <v>31</v>
      </c>
      <c r="K123" s="46" t="s">
        <v>31</v>
      </c>
      <c r="L123" s="46" t="s">
        <v>31</v>
      </c>
      <c r="M123" s="46" t="s">
        <v>31</v>
      </c>
      <c r="N123" s="46"/>
      <c r="O123" s="46"/>
      <c r="P123" s="46"/>
      <c r="Q123" s="46"/>
      <c r="R123" s="46"/>
      <c r="S123" s="46"/>
      <c r="T123" s="46"/>
      <c r="U123" s="46"/>
    </row>
    <row r="124" spans="1:21">
      <c r="A124" s="47" t="s">
        <v>610</v>
      </c>
      <c r="B124" s="46">
        <f>R124</f>
        <v>0.34</v>
      </c>
      <c r="C124" s="46" t="s">
        <v>37</v>
      </c>
      <c r="D124" s="46" t="s">
        <v>40</v>
      </c>
      <c r="E124" s="46" t="s">
        <v>29</v>
      </c>
      <c r="F124" s="46" t="s">
        <v>58</v>
      </c>
      <c r="G124" s="46" t="s">
        <v>33</v>
      </c>
      <c r="H124" s="46">
        <v>1</v>
      </c>
      <c r="I124" s="407">
        <f>B124</f>
        <v>0.34</v>
      </c>
      <c r="J124" s="46" t="s">
        <v>31</v>
      </c>
      <c r="K124" s="46" t="s">
        <v>31</v>
      </c>
      <c r="L124" s="46" t="s">
        <v>31</v>
      </c>
      <c r="M124" s="46" t="s">
        <v>31</v>
      </c>
      <c r="N124" s="46"/>
      <c r="O124" s="46"/>
      <c r="P124" s="46">
        <v>0.34</v>
      </c>
      <c r="Q124" s="46" t="s">
        <v>221</v>
      </c>
      <c r="R124" s="46">
        <f>P124</f>
        <v>0.34</v>
      </c>
      <c r="S124" s="46"/>
      <c r="T124" s="46"/>
      <c r="U124" s="46"/>
    </row>
    <row r="125" spans="1:21">
      <c r="A125" s="47" t="s">
        <v>908</v>
      </c>
      <c r="B125" s="46">
        <f t="shared" ref="B125:B127" si="5">R125</f>
        <v>0.224</v>
      </c>
      <c r="C125" s="46" t="s">
        <v>37</v>
      </c>
      <c r="D125" s="46" t="s">
        <v>40</v>
      </c>
      <c r="E125" s="46" t="s">
        <v>29</v>
      </c>
      <c r="F125" s="46" t="s">
        <v>58</v>
      </c>
      <c r="G125" s="46" t="s">
        <v>33</v>
      </c>
      <c r="H125" s="46">
        <v>2</v>
      </c>
      <c r="I125" s="46">
        <f>LN(B125)</f>
        <v>-1.4961092271270973</v>
      </c>
      <c r="J125" s="46">
        <v>3.7749172176353707E-2</v>
      </c>
      <c r="K125" s="46" t="s">
        <v>31</v>
      </c>
      <c r="L125" s="46" t="s">
        <v>31</v>
      </c>
      <c r="M125" s="46" t="s">
        <v>31</v>
      </c>
      <c r="N125" s="46"/>
      <c r="O125" s="393" t="s">
        <v>575</v>
      </c>
      <c r="P125" s="120">
        <v>224</v>
      </c>
      <c r="Q125" s="46" t="s">
        <v>221</v>
      </c>
      <c r="R125" s="46">
        <f>P125*0.001</f>
        <v>0.224</v>
      </c>
      <c r="S125" s="46"/>
      <c r="T125" s="46"/>
      <c r="U125" s="46"/>
    </row>
    <row r="126" spans="1:21">
      <c r="A126" s="47" t="s">
        <v>909</v>
      </c>
      <c r="B126" s="46">
        <f t="shared" si="5"/>
        <v>1.34E-2</v>
      </c>
      <c r="C126" s="46" t="s">
        <v>37</v>
      </c>
      <c r="D126" s="46" t="s">
        <v>40</v>
      </c>
      <c r="E126" s="46" t="s">
        <v>29</v>
      </c>
      <c r="F126" s="46" t="s">
        <v>58</v>
      </c>
      <c r="G126" s="46" t="s">
        <v>33</v>
      </c>
      <c r="H126" s="46">
        <v>2</v>
      </c>
      <c r="I126" s="46">
        <f>LN(B126)</f>
        <v>-4.3125005720252716</v>
      </c>
      <c r="J126" s="46">
        <v>3.7749172176353707E-2</v>
      </c>
      <c r="K126" s="46" t="s">
        <v>31</v>
      </c>
      <c r="L126" s="46" t="s">
        <v>31</v>
      </c>
      <c r="M126" s="46" t="s">
        <v>31</v>
      </c>
      <c r="N126" s="46"/>
      <c r="O126" s="393" t="s">
        <v>575</v>
      </c>
      <c r="P126" s="120">
        <v>13.4</v>
      </c>
      <c r="Q126" s="46" t="s">
        <v>221</v>
      </c>
      <c r="R126" s="46">
        <f t="shared" ref="R126:R127" si="6">P126*0.001</f>
        <v>1.34E-2</v>
      </c>
      <c r="S126" s="46"/>
      <c r="T126" s="46"/>
      <c r="U126" s="46"/>
    </row>
    <row r="127" spans="1:21">
      <c r="A127" s="47" t="s">
        <v>910</v>
      </c>
      <c r="B127" s="46">
        <f t="shared" si="5"/>
        <v>0.10100000000000001</v>
      </c>
      <c r="C127" s="46" t="s">
        <v>37</v>
      </c>
      <c r="D127" s="46" t="s">
        <v>40</v>
      </c>
      <c r="E127" s="46" t="s">
        <v>29</v>
      </c>
      <c r="F127" s="46" t="s">
        <v>58</v>
      </c>
      <c r="G127" s="46" t="s">
        <v>33</v>
      </c>
      <c r="H127" s="46">
        <v>2</v>
      </c>
      <c r="I127" s="46">
        <f>LN(B127)</f>
        <v>-2.2926347621408776</v>
      </c>
      <c r="J127" s="46">
        <v>3.7749172176353707E-2</v>
      </c>
      <c r="K127" s="46" t="s">
        <v>31</v>
      </c>
      <c r="L127" s="46" t="s">
        <v>31</v>
      </c>
      <c r="M127" s="46" t="s">
        <v>31</v>
      </c>
      <c r="N127" s="46"/>
      <c r="O127" s="393" t="s">
        <v>575</v>
      </c>
      <c r="P127" s="120">
        <v>101</v>
      </c>
      <c r="Q127" s="46" t="s">
        <v>221</v>
      </c>
      <c r="R127" s="46">
        <f t="shared" si="6"/>
        <v>0.10100000000000001</v>
      </c>
      <c r="S127" s="46"/>
      <c r="T127" s="46"/>
      <c r="U127" s="46"/>
    </row>
    <row r="128" spans="1:21" s="41" customFormat="1">
      <c r="A128" s="362" t="s">
        <v>5</v>
      </c>
      <c r="B128" s="148" t="s">
        <v>1180</v>
      </c>
      <c r="C128" s="364"/>
      <c r="D128" s="345"/>
      <c r="E128" s="345"/>
      <c r="F128" s="345"/>
      <c r="G128" s="345"/>
      <c r="H128" s="345"/>
      <c r="I128" s="345"/>
      <c r="J128" s="345"/>
      <c r="K128" s="345"/>
      <c r="L128" s="345"/>
      <c r="M128" s="345"/>
      <c r="N128" s="345"/>
      <c r="O128" s="345"/>
      <c r="P128" s="345"/>
      <c r="Q128" s="345"/>
      <c r="R128" s="345"/>
      <c r="S128" s="345"/>
      <c r="T128" s="345"/>
      <c r="U128" s="345"/>
    </row>
    <row r="129" spans="1:21">
      <c r="A129" s="338" t="s">
        <v>7</v>
      </c>
      <c r="B129" s="46" t="s">
        <v>779</v>
      </c>
      <c r="C129" s="337"/>
      <c r="D129" s="46"/>
      <c r="E129" s="46"/>
      <c r="F129" s="46"/>
      <c r="G129" s="46"/>
      <c r="H129" s="46"/>
      <c r="I129" s="46"/>
      <c r="J129" s="46"/>
      <c r="K129" s="46"/>
      <c r="L129" s="46"/>
      <c r="M129" s="46"/>
      <c r="N129" s="46"/>
      <c r="O129" s="46"/>
      <c r="P129" s="46"/>
      <c r="Q129" s="46"/>
      <c r="R129" s="46"/>
      <c r="S129" s="46"/>
      <c r="T129" s="46"/>
      <c r="U129" s="46"/>
    </row>
    <row r="130" spans="1:21">
      <c r="A130" s="416" t="s">
        <v>9</v>
      </c>
      <c r="B130" s="46" t="s">
        <v>1183</v>
      </c>
      <c r="C130" s="337"/>
      <c r="D130" s="46"/>
      <c r="E130" s="46"/>
      <c r="F130" s="46"/>
      <c r="G130" s="46"/>
      <c r="H130" s="46"/>
      <c r="I130" s="46"/>
      <c r="J130" s="46"/>
      <c r="K130" s="46"/>
      <c r="L130" s="46"/>
      <c r="M130" s="46"/>
      <c r="N130" s="46"/>
      <c r="O130" s="46"/>
      <c r="P130" s="46"/>
      <c r="Q130" s="46"/>
      <c r="R130" s="46"/>
      <c r="S130" s="46"/>
      <c r="T130" s="46"/>
      <c r="U130" s="46"/>
    </row>
    <row r="131" spans="1:21" ht="15.75" customHeight="1">
      <c r="A131" s="338" t="s">
        <v>11</v>
      </c>
      <c r="B131" s="339" t="s">
        <v>789</v>
      </c>
      <c r="C131" s="46"/>
      <c r="D131" s="46"/>
      <c r="E131" s="46"/>
      <c r="F131" s="46"/>
      <c r="G131" s="46"/>
      <c r="H131" s="46"/>
      <c r="I131" s="46"/>
      <c r="J131" s="46"/>
      <c r="K131" s="46"/>
      <c r="L131" s="46"/>
      <c r="M131" s="46"/>
      <c r="N131" s="46"/>
      <c r="O131" s="46"/>
      <c r="P131" s="46"/>
      <c r="Q131" s="46"/>
      <c r="R131" s="46"/>
      <c r="S131" s="46"/>
      <c r="T131" s="46"/>
      <c r="U131" s="46"/>
    </row>
    <row r="132" spans="1:21">
      <c r="A132" s="338" t="s">
        <v>13</v>
      </c>
      <c r="B132" s="46" t="s">
        <v>14</v>
      </c>
      <c r="C132" s="46"/>
      <c r="D132" s="46"/>
      <c r="E132" s="46"/>
      <c r="F132" s="46"/>
      <c r="G132" s="46"/>
      <c r="H132" s="46"/>
      <c r="I132" s="46"/>
      <c r="J132" s="46"/>
      <c r="K132" s="46"/>
      <c r="L132" s="46"/>
      <c r="M132" s="46"/>
      <c r="N132" s="46"/>
      <c r="O132" s="46"/>
      <c r="P132" s="46"/>
      <c r="Q132" s="46"/>
      <c r="R132" s="46"/>
      <c r="S132" s="46"/>
      <c r="T132" s="46"/>
      <c r="U132" s="46"/>
    </row>
    <row r="133" spans="1:21">
      <c r="A133" s="338" t="s">
        <v>15</v>
      </c>
      <c r="B133" s="417">
        <f>B138</f>
        <v>3.9E-2</v>
      </c>
      <c r="C133" s="46"/>
      <c r="D133" s="46"/>
      <c r="E133" s="46"/>
      <c r="F133" s="46"/>
      <c r="G133" s="46"/>
      <c r="H133" s="46"/>
      <c r="I133" s="46"/>
      <c r="J133" s="46"/>
      <c r="K133" s="46"/>
      <c r="L133" s="46"/>
      <c r="M133" s="46"/>
      <c r="N133" s="46"/>
      <c r="O133" s="46"/>
      <c r="P133" s="46"/>
      <c r="Q133" s="46"/>
      <c r="R133" s="46"/>
      <c r="S133" s="46"/>
      <c r="T133" s="46"/>
      <c r="U133" s="46"/>
    </row>
    <row r="134" spans="1:21">
      <c r="A134" s="338" t="s">
        <v>16</v>
      </c>
      <c r="B134" s="46" t="s">
        <v>17</v>
      </c>
      <c r="C134" s="46"/>
      <c r="D134" s="46"/>
      <c r="E134" s="46"/>
      <c r="F134" s="46"/>
      <c r="G134" s="46"/>
      <c r="H134" s="46"/>
      <c r="I134" s="46"/>
      <c r="J134" s="46"/>
      <c r="K134" s="46"/>
      <c r="L134" s="46"/>
      <c r="M134" s="46"/>
      <c r="N134" s="46"/>
      <c r="O134" s="46"/>
      <c r="P134" s="46"/>
      <c r="Q134" s="46"/>
      <c r="R134" s="46"/>
      <c r="S134" s="46"/>
      <c r="T134" s="46"/>
      <c r="U134" s="46"/>
    </row>
    <row r="135" spans="1:21">
      <c r="A135" s="338" t="s">
        <v>18</v>
      </c>
      <c r="B135" s="46" t="s">
        <v>113</v>
      </c>
      <c r="C135" s="46"/>
      <c r="D135" s="46"/>
      <c r="E135" s="46"/>
      <c r="F135" s="46"/>
      <c r="G135" s="46"/>
      <c r="H135" s="46"/>
      <c r="I135" s="46"/>
      <c r="J135" s="46"/>
      <c r="K135" s="46"/>
      <c r="L135" s="46"/>
      <c r="M135" s="46"/>
      <c r="N135" s="46"/>
      <c r="O135" s="46"/>
      <c r="P135" s="46"/>
      <c r="Q135" s="46"/>
      <c r="R135" s="46"/>
      <c r="S135" s="46"/>
      <c r="T135" s="46"/>
      <c r="U135" s="46"/>
    </row>
    <row r="136" spans="1:21">
      <c r="A136" s="335" t="s">
        <v>19</v>
      </c>
      <c r="B136" s="46"/>
      <c r="C136" s="46"/>
      <c r="D136" s="46"/>
      <c r="E136" s="46"/>
      <c r="F136" s="46"/>
      <c r="G136" s="46"/>
      <c r="H136" s="46"/>
      <c r="I136" s="46"/>
      <c r="J136" s="46"/>
      <c r="K136" s="46"/>
      <c r="L136" s="46"/>
      <c r="M136" s="46"/>
      <c r="N136" s="46"/>
      <c r="O136" s="46"/>
      <c r="P136" s="46"/>
      <c r="Q136" s="46"/>
      <c r="R136" s="46"/>
      <c r="S136" s="46"/>
      <c r="T136" s="46"/>
      <c r="U136" s="46"/>
    </row>
    <row r="137" spans="1:21">
      <c r="A137" s="336" t="s">
        <v>20</v>
      </c>
      <c r="B137" s="336" t="s">
        <v>21</v>
      </c>
      <c r="C137" s="336" t="s">
        <v>18</v>
      </c>
      <c r="D137" s="336" t="s">
        <v>22</v>
      </c>
      <c r="E137" s="336" t="s">
        <v>7</v>
      </c>
      <c r="F137" s="336" t="s">
        <v>13</v>
      </c>
      <c r="G137" s="336" t="s">
        <v>16</v>
      </c>
      <c r="H137" s="336" t="s">
        <v>23</v>
      </c>
      <c r="I137" s="336" t="s">
        <v>24</v>
      </c>
      <c r="J137" s="336" t="s">
        <v>25</v>
      </c>
      <c r="K137" s="336" t="s">
        <v>26</v>
      </c>
      <c r="L137" s="336" t="s">
        <v>27</v>
      </c>
      <c r="M137" s="336" t="s">
        <v>28</v>
      </c>
      <c r="N137" s="336" t="s">
        <v>11</v>
      </c>
      <c r="O137" s="46"/>
      <c r="P137" s="46"/>
      <c r="Q137" s="46"/>
      <c r="R137" s="46"/>
      <c r="S137" s="46"/>
      <c r="T137" s="46"/>
      <c r="U137" s="46"/>
    </row>
    <row r="138" spans="1:21">
      <c r="A138" s="46" t="s">
        <v>1180</v>
      </c>
      <c r="B138" s="417">
        <f>P138</f>
        <v>3.9E-2</v>
      </c>
      <c r="C138" s="46" t="s">
        <v>113</v>
      </c>
      <c r="D138" s="400" t="s">
        <v>2</v>
      </c>
      <c r="E138" s="46" t="s">
        <v>29</v>
      </c>
      <c r="F138" s="32" t="s">
        <v>14</v>
      </c>
      <c r="G138" s="46" t="s">
        <v>30</v>
      </c>
      <c r="H138" s="46">
        <v>1</v>
      </c>
      <c r="I138" s="407">
        <f>B138</f>
        <v>3.9E-2</v>
      </c>
      <c r="J138" s="46" t="s">
        <v>31</v>
      </c>
      <c r="K138" s="46" t="s">
        <v>31</v>
      </c>
      <c r="L138" s="46" t="s">
        <v>31</v>
      </c>
      <c r="M138" s="46" t="s">
        <v>31</v>
      </c>
      <c r="N138" s="46"/>
      <c r="O138" s="401"/>
      <c r="P138" s="461">
        <f>B152</f>
        <v>3.9E-2</v>
      </c>
      <c r="Q138" s="342"/>
      <c r="R138" s="46"/>
      <c r="S138" s="46"/>
      <c r="T138" s="46"/>
      <c r="U138" s="46"/>
    </row>
    <row r="139" spans="1:21">
      <c r="A139" s="62" t="s">
        <v>1184</v>
      </c>
      <c r="B139" s="417">
        <f>P139</f>
        <v>3.9E-2</v>
      </c>
      <c r="C139" s="46" t="s">
        <v>113</v>
      </c>
      <c r="D139" s="400" t="s">
        <v>2</v>
      </c>
      <c r="E139" s="46" t="s">
        <v>29</v>
      </c>
      <c r="F139" s="32" t="s">
        <v>14</v>
      </c>
      <c r="G139" s="46" t="s">
        <v>33</v>
      </c>
      <c r="H139" s="46">
        <v>1</v>
      </c>
      <c r="I139" s="407">
        <f>B139</f>
        <v>3.9E-2</v>
      </c>
      <c r="J139" s="46" t="s">
        <v>31</v>
      </c>
      <c r="K139" s="46" t="s">
        <v>31</v>
      </c>
      <c r="L139" s="46" t="s">
        <v>31</v>
      </c>
      <c r="M139" s="46" t="s">
        <v>31</v>
      </c>
      <c r="N139" s="46"/>
      <c r="O139" s="46"/>
      <c r="P139" s="461">
        <f>B152</f>
        <v>3.9E-2</v>
      </c>
      <c r="Q139" s="46"/>
      <c r="R139" s="46"/>
      <c r="S139" s="46"/>
      <c r="T139" s="46"/>
      <c r="U139" s="46"/>
    </row>
    <row r="140" spans="1:21">
      <c r="A140" s="47" t="s">
        <v>683</v>
      </c>
      <c r="B140" s="46">
        <f>R140</f>
        <v>3.5000000000000001E-3</v>
      </c>
      <c r="C140" s="46" t="s">
        <v>37</v>
      </c>
      <c r="D140" s="46" t="s">
        <v>40</v>
      </c>
      <c r="E140" s="46" t="s">
        <v>29</v>
      </c>
      <c r="F140" s="46" t="s">
        <v>35</v>
      </c>
      <c r="G140" s="46" t="s">
        <v>33</v>
      </c>
      <c r="H140" s="46">
        <v>2</v>
      </c>
      <c r="I140" s="46">
        <f>LN(B140)</f>
        <v>-5.6549923104867688</v>
      </c>
      <c r="J140" s="46">
        <v>0.20928449536456342</v>
      </c>
      <c r="K140" s="46" t="s">
        <v>31</v>
      </c>
      <c r="L140" s="46" t="s">
        <v>31</v>
      </c>
      <c r="M140" s="46" t="s">
        <v>31</v>
      </c>
      <c r="N140" s="46"/>
      <c r="O140" s="393" t="s">
        <v>575</v>
      </c>
      <c r="P140" s="120">
        <v>3.5</v>
      </c>
      <c r="Q140" s="46" t="s">
        <v>221</v>
      </c>
      <c r="R140" s="46">
        <f>0.001*P140</f>
        <v>3.5000000000000001E-3</v>
      </c>
      <c r="S140" s="46"/>
      <c r="T140" s="46"/>
      <c r="U140" s="46"/>
    </row>
    <row r="141" spans="1:21">
      <c r="A141" s="47" t="s">
        <v>530</v>
      </c>
      <c r="B141" s="46">
        <f>R141</f>
        <v>3.5000000000000001E-3</v>
      </c>
      <c r="C141" s="46" t="s">
        <v>37</v>
      </c>
      <c r="D141" s="46" t="s">
        <v>40</v>
      </c>
      <c r="E141" s="46" t="s">
        <v>29</v>
      </c>
      <c r="F141" s="46" t="s">
        <v>35</v>
      </c>
      <c r="G141" s="46" t="s">
        <v>33</v>
      </c>
      <c r="H141" s="46">
        <v>2</v>
      </c>
      <c r="I141" s="46">
        <f>LN(B141)</f>
        <v>-5.6549923104867688</v>
      </c>
      <c r="J141" s="46">
        <v>0.20928449536456342</v>
      </c>
      <c r="K141" s="46" t="s">
        <v>31</v>
      </c>
      <c r="L141" s="46" t="s">
        <v>31</v>
      </c>
      <c r="M141" s="46" t="s">
        <v>31</v>
      </c>
      <c r="N141" s="46"/>
      <c r="O141" s="393" t="s">
        <v>575</v>
      </c>
      <c r="P141" s="120">
        <v>3.5</v>
      </c>
      <c r="Q141" s="46" t="s">
        <v>221</v>
      </c>
      <c r="R141" s="46">
        <f>0.001*P141</f>
        <v>3.5000000000000001E-3</v>
      </c>
      <c r="S141" s="46"/>
      <c r="T141" s="46"/>
      <c r="U141" s="46"/>
    </row>
    <row r="142" spans="1:21" s="41" customFormat="1">
      <c r="A142" s="362" t="s">
        <v>5</v>
      </c>
      <c r="B142" s="438" t="s">
        <v>1184</v>
      </c>
      <c r="C142" s="364"/>
      <c r="D142" s="345"/>
      <c r="E142" s="345"/>
      <c r="F142" s="345"/>
      <c r="G142" s="345"/>
      <c r="H142" s="345"/>
      <c r="I142" s="345"/>
      <c r="J142" s="345"/>
      <c r="K142" s="345"/>
      <c r="L142" s="345"/>
      <c r="M142" s="345"/>
      <c r="N142" s="345"/>
      <c r="O142" s="345"/>
      <c r="P142" s="345"/>
      <c r="Q142" s="345"/>
      <c r="R142" s="345"/>
      <c r="S142" s="345"/>
      <c r="T142" s="345"/>
      <c r="U142" s="345"/>
    </row>
    <row r="143" spans="1:21">
      <c r="A143" s="338" t="s">
        <v>7</v>
      </c>
      <c r="B143" s="46" t="s">
        <v>779</v>
      </c>
      <c r="C143" s="337"/>
      <c r="D143" s="46"/>
      <c r="E143" s="46"/>
      <c r="F143" s="46"/>
      <c r="G143" s="46"/>
      <c r="H143" s="46"/>
      <c r="I143" s="46"/>
      <c r="J143" s="46"/>
      <c r="K143" s="46"/>
      <c r="L143" s="46"/>
      <c r="M143" s="46"/>
      <c r="N143" s="46"/>
      <c r="O143" s="46"/>
      <c r="P143" s="46"/>
      <c r="Q143" s="46"/>
      <c r="R143" s="46"/>
      <c r="S143" s="46"/>
      <c r="T143" s="46"/>
      <c r="U143" s="46"/>
    </row>
    <row r="144" spans="1:21">
      <c r="A144" s="416" t="s">
        <v>9</v>
      </c>
      <c r="B144" s="46" t="s">
        <v>1185</v>
      </c>
      <c r="C144" s="337"/>
      <c r="D144" s="46"/>
      <c r="E144" s="46"/>
      <c r="F144" s="46"/>
      <c r="G144" s="46"/>
      <c r="H144" s="46"/>
      <c r="I144" s="46"/>
      <c r="J144" s="46"/>
      <c r="K144" s="46"/>
      <c r="L144" s="46"/>
      <c r="M144" s="46"/>
      <c r="N144" s="46"/>
      <c r="O144" s="46"/>
      <c r="P144" s="46"/>
      <c r="Q144" s="46"/>
      <c r="R144" s="46"/>
      <c r="S144" s="46"/>
      <c r="T144" s="46"/>
      <c r="U144" s="46"/>
    </row>
    <row r="145" spans="1:21" ht="15.75" customHeight="1">
      <c r="A145" s="338" t="s">
        <v>11</v>
      </c>
      <c r="B145" s="339" t="s">
        <v>789</v>
      </c>
      <c r="C145" s="46"/>
      <c r="D145" s="46"/>
      <c r="E145" s="46"/>
      <c r="F145" s="46"/>
      <c r="G145" s="46"/>
      <c r="H145" s="46"/>
      <c r="I145" s="46"/>
      <c r="J145" s="46"/>
      <c r="K145" s="46"/>
      <c r="L145" s="46"/>
      <c r="M145" s="46"/>
      <c r="N145" s="46"/>
      <c r="O145" s="46"/>
      <c r="P145" s="46"/>
      <c r="Q145" s="46"/>
      <c r="R145" s="46"/>
      <c r="S145" s="46"/>
      <c r="T145" s="46"/>
      <c r="U145" s="46"/>
    </row>
    <row r="146" spans="1:21">
      <c r="A146" s="338" t="s">
        <v>13</v>
      </c>
      <c r="B146" s="46" t="s">
        <v>14</v>
      </c>
      <c r="C146" s="46"/>
      <c r="D146" s="46"/>
      <c r="E146" s="46"/>
      <c r="F146" s="46"/>
      <c r="G146" s="46"/>
      <c r="H146" s="46"/>
      <c r="I146" s="46"/>
      <c r="J146" s="46"/>
      <c r="K146" s="46"/>
      <c r="L146" s="46"/>
      <c r="M146" s="46"/>
      <c r="N146" s="46"/>
      <c r="O146" s="46"/>
      <c r="P146" s="46"/>
      <c r="Q146" s="46"/>
      <c r="R146" s="46"/>
      <c r="S146" s="46"/>
      <c r="T146" s="46"/>
      <c r="U146" s="46"/>
    </row>
    <row r="147" spans="1:21">
      <c r="A147" s="338" t="s">
        <v>15</v>
      </c>
      <c r="B147" s="417">
        <f>B152</f>
        <v>3.9E-2</v>
      </c>
      <c r="C147" s="46"/>
      <c r="D147" s="46"/>
      <c r="E147" s="46"/>
      <c r="F147" s="46"/>
      <c r="G147" s="46"/>
      <c r="H147" s="46"/>
      <c r="I147" s="46"/>
      <c r="J147" s="46"/>
      <c r="K147" s="46"/>
      <c r="L147" s="46"/>
      <c r="M147" s="46"/>
      <c r="N147" s="46"/>
      <c r="O147" s="46"/>
      <c r="P147" s="46"/>
      <c r="Q147" s="46"/>
      <c r="R147" s="46"/>
      <c r="S147" s="46"/>
      <c r="T147" s="46"/>
      <c r="U147" s="46"/>
    </row>
    <row r="148" spans="1:21">
      <c r="A148" s="338" t="s">
        <v>16</v>
      </c>
      <c r="B148" s="46" t="s">
        <v>17</v>
      </c>
      <c r="C148" s="46"/>
      <c r="D148" s="46"/>
      <c r="E148" s="46"/>
      <c r="F148" s="46"/>
      <c r="G148" s="46"/>
      <c r="H148" s="46"/>
      <c r="I148" s="46"/>
      <c r="J148" s="46"/>
      <c r="K148" s="46"/>
      <c r="L148" s="46"/>
      <c r="M148" s="46"/>
      <c r="N148" s="46"/>
      <c r="O148" s="46"/>
      <c r="P148" s="46"/>
      <c r="Q148" s="46"/>
      <c r="R148" s="46"/>
      <c r="S148" s="46"/>
      <c r="T148" s="46"/>
      <c r="U148" s="46"/>
    </row>
    <row r="149" spans="1:21">
      <c r="A149" s="338" t="s">
        <v>18</v>
      </c>
      <c r="B149" s="46" t="s">
        <v>113</v>
      </c>
      <c r="C149" s="46"/>
      <c r="D149" s="46"/>
      <c r="E149" s="46"/>
      <c r="F149" s="46"/>
      <c r="G149" s="46"/>
      <c r="H149" s="46"/>
      <c r="I149" s="46"/>
      <c r="J149" s="46"/>
      <c r="K149" s="46"/>
      <c r="L149" s="46"/>
      <c r="M149" s="46"/>
      <c r="N149" s="46"/>
      <c r="O149" s="46"/>
      <c r="P149" s="46"/>
      <c r="Q149" s="46"/>
      <c r="R149" s="46"/>
      <c r="S149" s="46"/>
      <c r="T149" s="46"/>
      <c r="U149" s="46"/>
    </row>
    <row r="150" spans="1:21">
      <c r="A150" s="335" t="s">
        <v>19</v>
      </c>
      <c r="B150" s="46"/>
      <c r="C150" s="46"/>
      <c r="D150" s="46"/>
      <c r="E150" s="46"/>
      <c r="F150" s="46"/>
      <c r="G150" s="46"/>
      <c r="H150" s="46"/>
      <c r="I150" s="46"/>
      <c r="J150" s="46"/>
      <c r="K150" s="46"/>
      <c r="L150" s="46"/>
      <c r="M150" s="46"/>
      <c r="N150" s="46"/>
      <c r="O150" s="46"/>
      <c r="P150" s="46"/>
      <c r="Q150" s="46"/>
      <c r="R150" s="46"/>
      <c r="S150" s="46"/>
      <c r="T150" s="46"/>
      <c r="U150" s="46"/>
    </row>
    <row r="151" spans="1:21">
      <c r="A151" s="336" t="s">
        <v>20</v>
      </c>
      <c r="B151" s="336" t="s">
        <v>21</v>
      </c>
      <c r="C151" s="336" t="s">
        <v>18</v>
      </c>
      <c r="D151" s="336" t="s">
        <v>22</v>
      </c>
      <c r="E151" s="336" t="s">
        <v>7</v>
      </c>
      <c r="F151" s="336" t="s">
        <v>13</v>
      </c>
      <c r="G151" s="336" t="s">
        <v>16</v>
      </c>
      <c r="H151" s="336" t="s">
        <v>23</v>
      </c>
      <c r="I151" s="336" t="s">
        <v>24</v>
      </c>
      <c r="J151" s="336" t="s">
        <v>25</v>
      </c>
      <c r="K151" s="336" t="s">
        <v>26</v>
      </c>
      <c r="L151" s="336" t="s">
        <v>27</v>
      </c>
      <c r="M151" s="336" t="s">
        <v>28</v>
      </c>
      <c r="N151" s="336" t="s">
        <v>11</v>
      </c>
      <c r="O151" s="46"/>
      <c r="P151" s="46"/>
      <c r="Q151" s="46"/>
      <c r="R151" s="46"/>
      <c r="S151" s="46"/>
      <c r="T151" s="46"/>
      <c r="U151" s="46"/>
    </row>
    <row r="152" spans="1:21">
      <c r="A152" s="62" t="s">
        <v>1184</v>
      </c>
      <c r="B152" s="484">
        <f>P152</f>
        <v>3.9E-2</v>
      </c>
      <c r="C152" s="46" t="s">
        <v>113</v>
      </c>
      <c r="D152" s="400" t="s">
        <v>2</v>
      </c>
      <c r="E152" s="46" t="s">
        <v>29</v>
      </c>
      <c r="F152" s="32" t="s">
        <v>14</v>
      </c>
      <c r="G152" s="46" t="s">
        <v>30</v>
      </c>
      <c r="H152" s="46">
        <v>1</v>
      </c>
      <c r="I152" s="407">
        <f>B152</f>
        <v>3.9E-2</v>
      </c>
      <c r="J152" s="46" t="s">
        <v>31</v>
      </c>
      <c r="K152" s="46" t="s">
        <v>31</v>
      </c>
      <c r="L152" s="46" t="s">
        <v>31</v>
      </c>
      <c r="M152" s="46" t="s">
        <v>31</v>
      </c>
      <c r="N152" s="46"/>
      <c r="O152" s="463" t="s">
        <v>605</v>
      </c>
      <c r="P152" s="484">
        <v>3.9E-2</v>
      </c>
      <c r="Q152" s="46"/>
      <c r="R152" s="46"/>
      <c r="S152" s="46"/>
      <c r="T152" s="46"/>
      <c r="U152" s="46"/>
    </row>
    <row r="153" spans="1:21">
      <c r="A153" s="46" t="s">
        <v>1186</v>
      </c>
      <c r="B153" s="484">
        <f>P153</f>
        <v>1.2E-2</v>
      </c>
      <c r="C153" s="46" t="s">
        <v>113</v>
      </c>
      <c r="D153" s="400" t="s">
        <v>2</v>
      </c>
      <c r="E153" s="46" t="s">
        <v>29</v>
      </c>
      <c r="F153" s="32" t="s">
        <v>14</v>
      </c>
      <c r="G153" s="46" t="s">
        <v>33</v>
      </c>
      <c r="H153" s="46">
        <v>1</v>
      </c>
      <c r="I153" s="407">
        <f>B153</f>
        <v>1.2E-2</v>
      </c>
      <c r="J153" s="46" t="s">
        <v>31</v>
      </c>
      <c r="K153" s="46" t="s">
        <v>31</v>
      </c>
      <c r="L153" s="46" t="s">
        <v>31</v>
      </c>
      <c r="M153" s="46" t="s">
        <v>31</v>
      </c>
      <c r="N153" s="46"/>
      <c r="O153" s="463" t="s">
        <v>817</v>
      </c>
      <c r="P153" s="485">
        <v>1.2E-2</v>
      </c>
      <c r="Q153" s="46"/>
      <c r="R153" s="46"/>
      <c r="S153" s="46"/>
      <c r="T153" s="46"/>
      <c r="U153" s="46"/>
    </row>
    <row r="154" spans="1:21">
      <c r="A154" s="46" t="s">
        <v>1187</v>
      </c>
      <c r="B154" s="484">
        <f>P154</f>
        <v>3.9E-2</v>
      </c>
      <c r="C154" s="46" t="s">
        <v>113</v>
      </c>
      <c r="D154" s="400" t="s">
        <v>2</v>
      </c>
      <c r="E154" s="46" t="s">
        <v>29</v>
      </c>
      <c r="F154" s="32" t="s">
        <v>14</v>
      </c>
      <c r="G154" s="46" t="s">
        <v>33</v>
      </c>
      <c r="H154" s="46">
        <v>1</v>
      </c>
      <c r="I154" s="407">
        <f>B154</f>
        <v>3.9E-2</v>
      </c>
      <c r="J154" s="46" t="s">
        <v>31</v>
      </c>
      <c r="K154" s="46" t="s">
        <v>31</v>
      </c>
      <c r="L154" s="46" t="s">
        <v>31</v>
      </c>
      <c r="M154" s="46" t="s">
        <v>31</v>
      </c>
      <c r="N154" s="46"/>
      <c r="O154" s="392" t="s">
        <v>817</v>
      </c>
      <c r="P154" s="486">
        <v>3.9E-2</v>
      </c>
      <c r="Q154" s="46"/>
      <c r="R154" s="46"/>
      <c r="S154" s="46"/>
      <c r="T154" s="46"/>
      <c r="U154" s="46"/>
    </row>
    <row r="155" spans="1:21">
      <c r="A155" s="338" t="s">
        <v>75</v>
      </c>
      <c r="B155" s="437">
        <f t="shared" ref="B155:B156" si="7">P155</f>
        <v>0.94</v>
      </c>
      <c r="C155" s="46" t="s">
        <v>39</v>
      </c>
      <c r="D155" s="46" t="s">
        <v>40</v>
      </c>
      <c r="E155" s="46" t="s">
        <v>29</v>
      </c>
      <c r="F155" s="32" t="s">
        <v>35</v>
      </c>
      <c r="G155" s="46" t="s">
        <v>33</v>
      </c>
      <c r="H155" s="46">
        <v>2</v>
      </c>
      <c r="I155" s="46">
        <f t="shared" ref="I155:I156" si="8">LN(B155)</f>
        <v>-6.1875403718087529E-2</v>
      </c>
      <c r="J155" s="46">
        <v>9.7082439194738052E-2</v>
      </c>
      <c r="K155" s="46" t="s">
        <v>31</v>
      </c>
      <c r="L155" s="46" t="s">
        <v>31</v>
      </c>
      <c r="M155" s="46" t="s">
        <v>31</v>
      </c>
      <c r="N155" s="46"/>
      <c r="O155" s="393" t="s">
        <v>216</v>
      </c>
      <c r="P155" s="120">
        <v>0.94</v>
      </c>
      <c r="Q155" s="46" t="s">
        <v>216</v>
      </c>
      <c r="R155" s="342">
        <f>P155</f>
        <v>0.94</v>
      </c>
      <c r="S155" s="46"/>
      <c r="T155" s="46"/>
      <c r="U155" s="46"/>
    </row>
    <row r="156" spans="1:21">
      <c r="A156" s="338" t="s">
        <v>480</v>
      </c>
      <c r="B156" s="437">
        <f t="shared" si="7"/>
        <v>2.5</v>
      </c>
      <c r="C156" s="46" t="s">
        <v>37</v>
      </c>
      <c r="D156" s="46" t="s">
        <v>40</v>
      </c>
      <c r="E156" s="46" t="s">
        <v>29</v>
      </c>
      <c r="F156" s="32" t="s">
        <v>35</v>
      </c>
      <c r="G156" s="46" t="s">
        <v>33</v>
      </c>
      <c r="H156" s="46">
        <v>2</v>
      </c>
      <c r="I156" s="46">
        <f t="shared" si="8"/>
        <v>0.91629073187415511</v>
      </c>
      <c r="J156" s="46">
        <v>9.7082439194738052E-2</v>
      </c>
      <c r="K156" s="46" t="s">
        <v>31</v>
      </c>
      <c r="L156" s="46" t="s">
        <v>31</v>
      </c>
      <c r="M156" s="46" t="s">
        <v>31</v>
      </c>
      <c r="N156" s="46"/>
      <c r="O156" s="393" t="s">
        <v>221</v>
      </c>
      <c r="P156" s="120">
        <v>2.5</v>
      </c>
      <c r="Q156" s="46"/>
      <c r="R156" s="46"/>
      <c r="S156" s="46"/>
      <c r="T156" s="46"/>
      <c r="U156" s="46"/>
    </row>
    <row r="157" spans="1:21" s="41" customFormat="1">
      <c r="A157" s="362" t="s">
        <v>5</v>
      </c>
      <c r="B157" s="363" t="s">
        <v>1187</v>
      </c>
      <c r="C157" s="364"/>
      <c r="D157" s="345"/>
      <c r="E157" s="345"/>
      <c r="F157" s="345"/>
      <c r="G157" s="345"/>
      <c r="H157" s="345"/>
      <c r="I157" s="345"/>
      <c r="J157" s="345"/>
      <c r="K157" s="345"/>
      <c r="L157" s="345"/>
      <c r="M157" s="345"/>
      <c r="N157" s="345"/>
      <c r="O157" s="345"/>
      <c r="P157" s="345"/>
      <c r="Q157" s="345"/>
      <c r="R157" s="345"/>
      <c r="S157" s="345"/>
      <c r="T157" s="345"/>
      <c r="U157" s="345"/>
    </row>
    <row r="158" spans="1:21">
      <c r="A158" s="338" t="s">
        <v>7</v>
      </c>
      <c r="B158" s="46" t="s">
        <v>779</v>
      </c>
      <c r="C158" s="337"/>
      <c r="D158" s="46"/>
      <c r="E158" s="46"/>
      <c r="F158" s="46"/>
      <c r="G158" s="46"/>
      <c r="H158" s="46"/>
      <c r="I158" s="46"/>
      <c r="J158" s="46"/>
      <c r="K158" s="46"/>
      <c r="L158" s="46"/>
      <c r="M158" s="46"/>
      <c r="N158" s="46"/>
      <c r="O158" s="46"/>
      <c r="P158" s="46"/>
      <c r="Q158" s="46"/>
      <c r="R158" s="46"/>
      <c r="S158" s="46"/>
      <c r="T158" s="46"/>
      <c r="U158" s="46"/>
    </row>
    <row r="159" spans="1:21">
      <c r="A159" s="416" t="s">
        <v>9</v>
      </c>
      <c r="B159" s="46" t="s">
        <v>1188</v>
      </c>
      <c r="C159" s="337"/>
      <c r="D159" s="46"/>
      <c r="E159" s="46"/>
      <c r="F159" s="46"/>
      <c r="G159" s="46"/>
      <c r="H159" s="46"/>
      <c r="I159" s="46"/>
      <c r="J159" s="46"/>
      <c r="K159" s="46"/>
      <c r="L159" s="46"/>
      <c r="M159" s="46"/>
      <c r="N159" s="46"/>
      <c r="O159" s="46"/>
      <c r="P159" s="46"/>
      <c r="Q159" s="46"/>
      <c r="R159" s="46"/>
      <c r="S159" s="46"/>
      <c r="T159" s="46"/>
      <c r="U159" s="46"/>
    </row>
    <row r="160" spans="1:21" ht="15.75" customHeight="1">
      <c r="A160" s="338" t="s">
        <v>11</v>
      </c>
      <c r="B160" s="339" t="s">
        <v>789</v>
      </c>
      <c r="C160" s="46"/>
      <c r="D160" s="46"/>
      <c r="E160" s="46"/>
      <c r="F160" s="46"/>
      <c r="G160" s="46"/>
      <c r="H160" s="46"/>
      <c r="I160" s="46"/>
      <c r="J160" s="46"/>
      <c r="K160" s="46"/>
      <c r="L160" s="46"/>
      <c r="M160" s="46"/>
      <c r="N160" s="46"/>
      <c r="O160" s="46"/>
      <c r="P160" s="46"/>
      <c r="Q160" s="46"/>
      <c r="R160" s="46"/>
      <c r="S160" s="46"/>
      <c r="T160" s="46"/>
      <c r="U160" s="46"/>
    </row>
    <row r="161" spans="1:21">
      <c r="A161" s="338" t="s">
        <v>13</v>
      </c>
      <c r="B161" s="46" t="s">
        <v>14</v>
      </c>
      <c r="C161" s="46"/>
      <c r="D161" s="46"/>
      <c r="E161" s="46"/>
      <c r="F161" s="46"/>
      <c r="G161" s="46"/>
      <c r="H161" s="46"/>
      <c r="I161" s="46"/>
      <c r="J161" s="46"/>
      <c r="K161" s="46"/>
      <c r="L161" s="46"/>
      <c r="M161" s="46"/>
      <c r="N161" s="46"/>
      <c r="O161" s="46"/>
      <c r="P161" s="46"/>
      <c r="Q161" s="46"/>
      <c r="R161" s="46"/>
      <c r="S161" s="46"/>
      <c r="T161" s="46"/>
      <c r="U161" s="46"/>
    </row>
    <row r="162" spans="1:21">
      <c r="A162" s="338" t="s">
        <v>15</v>
      </c>
      <c r="B162" s="184">
        <f>B167</f>
        <v>3.9E-2</v>
      </c>
      <c r="C162" s="46"/>
      <c r="D162" s="46"/>
      <c r="E162" s="46"/>
      <c r="F162" s="46"/>
      <c r="G162" s="46"/>
      <c r="H162" s="46"/>
      <c r="I162" s="46"/>
      <c r="J162" s="46"/>
      <c r="K162" s="46"/>
      <c r="L162" s="46"/>
      <c r="M162" s="46"/>
      <c r="N162" s="46"/>
      <c r="O162" s="46"/>
      <c r="P162" s="46"/>
      <c r="Q162" s="46"/>
      <c r="R162" s="46"/>
      <c r="S162" s="46"/>
      <c r="T162" s="46"/>
      <c r="U162" s="46"/>
    </row>
    <row r="163" spans="1:21">
      <c r="A163" s="338" t="s">
        <v>16</v>
      </c>
      <c r="B163" s="46" t="s">
        <v>17</v>
      </c>
      <c r="C163" s="46"/>
      <c r="D163" s="46"/>
      <c r="E163" s="46"/>
      <c r="F163" s="46"/>
      <c r="G163" s="46"/>
      <c r="H163" s="46"/>
      <c r="I163" s="46"/>
      <c r="J163" s="46"/>
      <c r="K163" s="46"/>
      <c r="L163" s="46"/>
      <c r="M163" s="46"/>
      <c r="N163" s="46"/>
      <c r="O163" s="46"/>
      <c r="P163" s="46"/>
      <c r="Q163" s="46"/>
      <c r="R163" s="46"/>
      <c r="S163" s="46"/>
      <c r="T163" s="46"/>
      <c r="U163" s="46"/>
    </row>
    <row r="164" spans="1:21">
      <c r="A164" s="338" t="s">
        <v>18</v>
      </c>
      <c r="B164" s="46" t="s">
        <v>113</v>
      </c>
      <c r="C164" s="46"/>
      <c r="D164" s="46"/>
      <c r="E164" s="46"/>
      <c r="F164" s="46"/>
      <c r="G164" s="46"/>
      <c r="H164" s="46"/>
      <c r="I164" s="46"/>
      <c r="J164" s="46"/>
      <c r="K164" s="46"/>
      <c r="L164" s="46"/>
      <c r="M164" s="46"/>
      <c r="N164" s="46"/>
      <c r="O164" s="46"/>
      <c r="P164" s="46"/>
      <c r="Q164" s="46"/>
      <c r="R164" s="46"/>
      <c r="S164" s="46"/>
      <c r="T164" s="46"/>
      <c r="U164" s="46"/>
    </row>
    <row r="165" spans="1:21">
      <c r="A165" s="335" t="s">
        <v>19</v>
      </c>
      <c r="B165" s="46"/>
      <c r="C165" s="46"/>
      <c r="D165" s="46"/>
      <c r="E165" s="46"/>
      <c r="F165" s="46"/>
      <c r="G165" s="46"/>
      <c r="H165" s="46"/>
      <c r="I165" s="46"/>
      <c r="J165" s="46"/>
      <c r="K165" s="46"/>
      <c r="L165" s="46"/>
      <c r="M165" s="46"/>
      <c r="N165" s="46"/>
      <c r="O165" s="46"/>
      <c r="P165" s="46"/>
      <c r="Q165" s="46"/>
      <c r="R165" s="46"/>
      <c r="S165" s="46"/>
      <c r="T165" s="46"/>
      <c r="U165" s="46"/>
    </row>
    <row r="166" spans="1:21">
      <c r="A166" s="336" t="s">
        <v>20</v>
      </c>
      <c r="B166" s="336" t="s">
        <v>21</v>
      </c>
      <c r="C166" s="336" t="s">
        <v>18</v>
      </c>
      <c r="D166" s="336" t="s">
        <v>22</v>
      </c>
      <c r="E166" s="336" t="s">
        <v>7</v>
      </c>
      <c r="F166" s="336" t="s">
        <v>13</v>
      </c>
      <c r="G166" s="336" t="s">
        <v>16</v>
      </c>
      <c r="H166" s="336" t="s">
        <v>23</v>
      </c>
      <c r="I166" s="336" t="s">
        <v>24</v>
      </c>
      <c r="J166" s="336" t="s">
        <v>25</v>
      </c>
      <c r="K166" s="336" t="s">
        <v>26</v>
      </c>
      <c r="L166" s="336" t="s">
        <v>27</v>
      </c>
      <c r="M166" s="336" t="s">
        <v>28</v>
      </c>
      <c r="N166" s="336" t="s">
        <v>11</v>
      </c>
      <c r="O166" s="46"/>
      <c r="P166" s="46"/>
      <c r="Q166" s="46"/>
      <c r="R166" s="46"/>
      <c r="S166" s="46"/>
      <c r="T166" s="46"/>
      <c r="U166" s="46"/>
    </row>
    <row r="167" spans="1:21">
      <c r="A167" s="46" t="s">
        <v>1187</v>
      </c>
      <c r="B167" s="407">
        <f>P167</f>
        <v>3.9E-2</v>
      </c>
      <c r="C167" s="46" t="s">
        <v>113</v>
      </c>
      <c r="D167" s="400" t="s">
        <v>2</v>
      </c>
      <c r="E167" s="46" t="s">
        <v>29</v>
      </c>
      <c r="F167" s="32" t="s">
        <v>14</v>
      </c>
      <c r="G167" s="46" t="s">
        <v>30</v>
      </c>
      <c r="H167" s="46">
        <v>1</v>
      </c>
      <c r="I167" s="407">
        <f>B167</f>
        <v>3.9E-2</v>
      </c>
      <c r="J167" s="46" t="s">
        <v>31</v>
      </c>
      <c r="K167" s="46" t="s">
        <v>31</v>
      </c>
      <c r="L167" s="46" t="s">
        <v>31</v>
      </c>
      <c r="M167" s="46" t="s">
        <v>31</v>
      </c>
      <c r="N167" s="46"/>
      <c r="O167" s="46"/>
      <c r="P167" s="184">
        <v>3.9E-2</v>
      </c>
      <c r="Q167" s="46"/>
      <c r="R167" s="46"/>
      <c r="S167" s="46"/>
      <c r="T167" s="46"/>
      <c r="U167" s="46"/>
    </row>
    <row r="168" spans="1:21">
      <c r="A168" s="62" t="s">
        <v>1189</v>
      </c>
      <c r="B168" s="407">
        <f>P168</f>
        <v>3.9E-2</v>
      </c>
      <c r="C168" s="46" t="s">
        <v>113</v>
      </c>
      <c r="D168" s="400" t="s">
        <v>2</v>
      </c>
      <c r="E168" s="46" t="s">
        <v>29</v>
      </c>
      <c r="F168" s="32" t="s">
        <v>14</v>
      </c>
      <c r="G168" s="46" t="s">
        <v>33</v>
      </c>
      <c r="H168" s="46">
        <v>1</v>
      </c>
      <c r="I168" s="407">
        <f>B168</f>
        <v>3.9E-2</v>
      </c>
      <c r="J168" s="46" t="s">
        <v>31</v>
      </c>
      <c r="K168" s="46" t="s">
        <v>31</v>
      </c>
      <c r="L168" s="46" t="s">
        <v>31</v>
      </c>
      <c r="M168" s="46" t="s">
        <v>31</v>
      </c>
      <c r="N168" s="46"/>
      <c r="O168" s="46"/>
      <c r="P168" s="184">
        <v>3.9E-2</v>
      </c>
      <c r="Q168" s="46"/>
      <c r="R168" s="46"/>
      <c r="S168" s="46"/>
      <c r="T168" s="46"/>
      <c r="U168" s="46"/>
    </row>
    <row r="169" spans="1:21">
      <c r="A169" s="338" t="s">
        <v>75</v>
      </c>
      <c r="B169" s="342">
        <f>R169</f>
        <v>0.08</v>
      </c>
      <c r="C169" s="46" t="s">
        <v>39</v>
      </c>
      <c r="D169" s="46" t="s">
        <v>40</v>
      </c>
      <c r="E169" s="46" t="s">
        <v>29</v>
      </c>
      <c r="F169" s="32" t="s">
        <v>35</v>
      </c>
      <c r="G169" s="46" t="s">
        <v>33</v>
      </c>
      <c r="H169" s="46">
        <v>2</v>
      </c>
      <c r="I169" s="46">
        <f t="shared" ref="I169:I173" si="9">LN(B169)</f>
        <v>-2.5257286443082556</v>
      </c>
      <c r="J169" s="46">
        <v>0.20928449536456342</v>
      </c>
      <c r="K169" s="46" t="s">
        <v>31</v>
      </c>
      <c r="L169" s="46" t="s">
        <v>31</v>
      </c>
      <c r="M169" s="46" t="s">
        <v>31</v>
      </c>
      <c r="N169" s="46"/>
      <c r="O169" s="375" t="s">
        <v>216</v>
      </c>
      <c r="P169" s="406">
        <v>0.08</v>
      </c>
      <c r="Q169" s="46" t="s">
        <v>216</v>
      </c>
      <c r="R169" s="342">
        <f>P169</f>
        <v>0.08</v>
      </c>
      <c r="S169" s="46"/>
      <c r="T169" s="46"/>
      <c r="U169" s="46"/>
    </row>
    <row r="170" spans="1:21">
      <c r="A170" s="47" t="s">
        <v>791</v>
      </c>
      <c r="B170" s="46">
        <f>R170</f>
        <v>2.3999999999999998E-3</v>
      </c>
      <c r="C170" s="46" t="s">
        <v>37</v>
      </c>
      <c r="D170" s="46" t="s">
        <v>40</v>
      </c>
      <c r="E170" s="46" t="s">
        <v>29</v>
      </c>
      <c r="F170" s="32" t="s">
        <v>35</v>
      </c>
      <c r="G170" s="46" t="s">
        <v>33</v>
      </c>
      <c r="H170" s="46">
        <v>2</v>
      </c>
      <c r="I170" s="46">
        <f t="shared" si="9"/>
        <v>-6.0322865416282374</v>
      </c>
      <c r="J170" s="46">
        <v>0.20928449536456342</v>
      </c>
      <c r="K170" s="46" t="s">
        <v>31</v>
      </c>
      <c r="L170" s="46" t="s">
        <v>31</v>
      </c>
      <c r="M170" s="46" t="s">
        <v>31</v>
      </c>
      <c r="N170" s="46"/>
      <c r="O170" s="393" t="s">
        <v>575</v>
      </c>
      <c r="P170" s="406">
        <v>2.4</v>
      </c>
      <c r="Q170" s="46" t="s">
        <v>221</v>
      </c>
      <c r="R170" s="46">
        <f>0.001*P170</f>
        <v>2.3999999999999998E-3</v>
      </c>
      <c r="S170" s="46"/>
      <c r="T170" s="46"/>
      <c r="U170" s="46"/>
    </row>
    <row r="171" spans="1:21">
      <c r="A171" s="47" t="s">
        <v>546</v>
      </c>
      <c r="B171" s="46">
        <f>R171</f>
        <v>4.0000000000000002E-4</v>
      </c>
      <c r="C171" s="46" t="s">
        <v>37</v>
      </c>
      <c r="D171" s="46" t="s">
        <v>40</v>
      </c>
      <c r="E171" s="46" t="s">
        <v>29</v>
      </c>
      <c r="F171" s="32" t="s">
        <v>58</v>
      </c>
      <c r="G171" s="46" t="s">
        <v>33</v>
      </c>
      <c r="H171" s="46">
        <v>2</v>
      </c>
      <c r="I171" s="46">
        <f t="shared" si="9"/>
        <v>-7.8240460108562919</v>
      </c>
      <c r="J171" s="46">
        <v>0.20928449536456342</v>
      </c>
      <c r="K171" s="46" t="s">
        <v>31</v>
      </c>
      <c r="L171" s="46" t="s">
        <v>31</v>
      </c>
      <c r="M171" s="46" t="s">
        <v>31</v>
      </c>
      <c r="N171" s="46"/>
      <c r="O171" s="393" t="s">
        <v>575</v>
      </c>
      <c r="P171" s="406">
        <v>0.4</v>
      </c>
      <c r="Q171" s="46" t="s">
        <v>221</v>
      </c>
      <c r="R171" s="46">
        <f t="shared" ref="R171:R173" si="10">0.001*P171</f>
        <v>4.0000000000000002E-4</v>
      </c>
      <c r="S171" s="46"/>
      <c r="T171" s="46"/>
      <c r="U171" s="46"/>
    </row>
    <row r="172" spans="1:21">
      <c r="A172" s="338" t="s">
        <v>792</v>
      </c>
      <c r="B172" s="46">
        <f>R172</f>
        <v>1.2E-2</v>
      </c>
      <c r="C172" s="46" t="s">
        <v>37</v>
      </c>
      <c r="D172" s="46" t="s">
        <v>40</v>
      </c>
      <c r="E172" s="46" t="s">
        <v>29</v>
      </c>
      <c r="F172" s="32" t="s">
        <v>741</v>
      </c>
      <c r="G172" s="46" t="s">
        <v>33</v>
      </c>
      <c r="H172" s="46">
        <v>2</v>
      </c>
      <c r="I172" s="46">
        <f t="shared" si="9"/>
        <v>-4.4228486291941369</v>
      </c>
      <c r="J172" s="46">
        <v>0.20928449536456342</v>
      </c>
      <c r="K172" s="46" t="s">
        <v>31</v>
      </c>
      <c r="L172" s="46" t="s">
        <v>31</v>
      </c>
      <c r="M172" s="46" t="s">
        <v>31</v>
      </c>
      <c r="N172" s="46"/>
      <c r="O172" s="393" t="s">
        <v>575</v>
      </c>
      <c r="P172" s="406">
        <v>12</v>
      </c>
      <c r="Q172" s="46" t="s">
        <v>221</v>
      </c>
      <c r="R172" s="46">
        <f t="shared" si="10"/>
        <v>1.2E-2</v>
      </c>
      <c r="S172" s="46"/>
      <c r="T172" s="46"/>
      <c r="U172" s="46"/>
    </row>
    <row r="173" spans="1:21">
      <c r="A173" s="46" t="s">
        <v>777</v>
      </c>
      <c r="B173" s="46">
        <f>R173</f>
        <v>2.8E-3</v>
      </c>
      <c r="C173" s="46" t="s">
        <v>37</v>
      </c>
      <c r="D173" s="400" t="s">
        <v>2</v>
      </c>
      <c r="E173" s="46" t="s">
        <v>29</v>
      </c>
      <c r="F173" s="32" t="s">
        <v>741</v>
      </c>
      <c r="G173" s="46" t="s">
        <v>33</v>
      </c>
      <c r="H173" s="46">
        <v>2</v>
      </c>
      <c r="I173" s="46">
        <f t="shared" si="9"/>
        <v>-5.8781358618009785</v>
      </c>
      <c r="J173" s="46">
        <v>0.20928449536456342</v>
      </c>
      <c r="K173" s="46" t="s">
        <v>31</v>
      </c>
      <c r="L173" s="46" t="s">
        <v>31</v>
      </c>
      <c r="M173" s="46" t="s">
        <v>31</v>
      </c>
      <c r="N173" s="46"/>
      <c r="O173" s="439" t="s">
        <v>575</v>
      </c>
      <c r="P173" s="411">
        <v>2.8</v>
      </c>
      <c r="Q173" s="46" t="s">
        <v>221</v>
      </c>
      <c r="R173" s="46">
        <f t="shared" si="10"/>
        <v>2.8E-3</v>
      </c>
      <c r="S173" s="46"/>
      <c r="T173" s="46"/>
      <c r="U173" s="46"/>
    </row>
    <row r="174" spans="1:21" s="41" customFormat="1">
      <c r="A174" s="362" t="s">
        <v>5</v>
      </c>
      <c r="B174" s="363" t="s">
        <v>1189</v>
      </c>
      <c r="C174" s="364"/>
      <c r="D174" s="345"/>
      <c r="E174" s="345"/>
      <c r="F174" s="345"/>
      <c r="G174" s="345"/>
      <c r="H174" s="345"/>
      <c r="I174" s="345"/>
      <c r="J174" s="345"/>
      <c r="K174" s="345"/>
      <c r="L174" s="345"/>
      <c r="M174" s="345"/>
      <c r="N174" s="345"/>
      <c r="O174" s="345"/>
      <c r="P174" s="345"/>
      <c r="Q174" s="345"/>
      <c r="R174" s="345"/>
      <c r="S174" s="345"/>
      <c r="T174" s="345"/>
      <c r="U174" s="345"/>
    </row>
    <row r="175" spans="1:21">
      <c r="A175" s="338" t="s">
        <v>7</v>
      </c>
      <c r="B175" s="46" t="s">
        <v>779</v>
      </c>
      <c r="C175" s="337"/>
      <c r="D175" s="46"/>
      <c r="E175" s="46"/>
      <c r="F175" s="46"/>
      <c r="G175" s="46"/>
      <c r="H175" s="46"/>
      <c r="I175" s="46"/>
      <c r="J175" s="46"/>
      <c r="K175" s="46"/>
      <c r="L175" s="46"/>
      <c r="M175" s="46"/>
      <c r="N175" s="46"/>
      <c r="O175" s="46"/>
      <c r="P175" s="46"/>
      <c r="Q175" s="46"/>
      <c r="R175" s="46"/>
      <c r="S175" s="46"/>
      <c r="T175" s="46"/>
      <c r="U175" s="46"/>
    </row>
    <row r="176" spans="1:21">
      <c r="A176" s="416" t="s">
        <v>9</v>
      </c>
      <c r="B176" s="46" t="s">
        <v>1190</v>
      </c>
      <c r="C176" s="337"/>
      <c r="D176" s="46"/>
      <c r="E176" s="46"/>
      <c r="F176" s="46"/>
      <c r="G176" s="46"/>
      <c r="H176" s="46"/>
      <c r="I176" s="46"/>
      <c r="J176" s="46"/>
      <c r="K176" s="46"/>
      <c r="L176" s="46"/>
      <c r="M176" s="46"/>
      <c r="N176" s="46"/>
      <c r="O176" s="46"/>
      <c r="P176" s="46"/>
      <c r="Q176" s="46"/>
      <c r="R176" s="46"/>
      <c r="S176" s="46"/>
      <c r="T176" s="46"/>
      <c r="U176" s="46"/>
    </row>
    <row r="177" spans="1:21" ht="15.75" customHeight="1">
      <c r="A177" s="338" t="s">
        <v>11</v>
      </c>
      <c r="B177" s="339" t="s">
        <v>789</v>
      </c>
      <c r="C177" s="46"/>
      <c r="D177" s="46"/>
      <c r="E177" s="46"/>
      <c r="F177" s="46"/>
      <c r="G177" s="46"/>
      <c r="H177" s="46"/>
      <c r="I177" s="46"/>
      <c r="J177" s="46"/>
      <c r="K177" s="46"/>
      <c r="L177" s="46"/>
      <c r="M177" s="46"/>
      <c r="N177" s="46"/>
      <c r="O177" s="46"/>
      <c r="P177" s="46"/>
      <c r="Q177" s="46"/>
      <c r="R177" s="46"/>
      <c r="S177" s="46"/>
      <c r="T177" s="46"/>
      <c r="U177" s="46"/>
    </row>
    <row r="178" spans="1:21">
      <c r="A178" s="338" t="s">
        <v>13</v>
      </c>
      <c r="B178" s="46" t="s">
        <v>14</v>
      </c>
      <c r="C178" s="46"/>
      <c r="D178" s="46"/>
      <c r="E178" s="46"/>
      <c r="F178" s="46"/>
      <c r="G178" s="46"/>
      <c r="H178" s="46"/>
      <c r="I178" s="46"/>
      <c r="J178" s="46"/>
      <c r="K178" s="46"/>
      <c r="L178" s="46"/>
      <c r="M178" s="46"/>
      <c r="N178" s="46"/>
      <c r="O178" s="46"/>
      <c r="P178" s="46"/>
      <c r="Q178" s="46"/>
      <c r="R178" s="46"/>
      <c r="S178" s="46"/>
      <c r="T178" s="46"/>
      <c r="U178" s="46"/>
    </row>
    <row r="179" spans="1:21">
      <c r="A179" s="338" t="s">
        <v>15</v>
      </c>
      <c r="B179" s="417">
        <f>B184</f>
        <v>3.9E-2</v>
      </c>
      <c r="C179" s="46"/>
      <c r="D179" s="46"/>
      <c r="E179" s="46"/>
      <c r="F179" s="46"/>
      <c r="G179" s="46"/>
      <c r="H179" s="46"/>
      <c r="I179" s="46"/>
      <c r="J179" s="46"/>
      <c r="K179" s="46"/>
      <c r="L179" s="46"/>
      <c r="M179" s="46"/>
      <c r="N179" s="46"/>
      <c r="O179" s="46"/>
      <c r="P179" s="46"/>
      <c r="Q179" s="46"/>
      <c r="R179" s="46"/>
      <c r="S179" s="46"/>
      <c r="T179" s="46"/>
      <c r="U179" s="46"/>
    </row>
    <row r="180" spans="1:21">
      <c r="A180" s="338" t="s">
        <v>16</v>
      </c>
      <c r="B180" s="46" t="s">
        <v>17</v>
      </c>
      <c r="C180" s="46"/>
      <c r="D180" s="46"/>
      <c r="E180" s="46"/>
      <c r="F180" s="46"/>
      <c r="G180" s="46"/>
      <c r="H180" s="46"/>
      <c r="I180" s="46"/>
      <c r="J180" s="46"/>
      <c r="K180" s="46"/>
      <c r="L180" s="46"/>
      <c r="M180" s="46"/>
      <c r="N180" s="46"/>
      <c r="O180" s="46"/>
      <c r="P180" s="46"/>
      <c r="Q180" s="46"/>
      <c r="R180" s="46"/>
      <c r="S180" s="46"/>
      <c r="T180" s="46"/>
      <c r="U180" s="46"/>
    </row>
    <row r="181" spans="1:21">
      <c r="A181" s="338" t="s">
        <v>18</v>
      </c>
      <c r="B181" s="46" t="s">
        <v>113</v>
      </c>
      <c r="C181" s="46"/>
      <c r="D181" s="46"/>
      <c r="E181" s="46"/>
      <c r="F181" s="46"/>
      <c r="G181" s="46"/>
      <c r="H181" s="46"/>
      <c r="I181" s="46"/>
      <c r="J181" s="46"/>
      <c r="K181" s="46"/>
      <c r="L181" s="46"/>
      <c r="M181" s="46"/>
      <c r="N181" s="46"/>
      <c r="O181" s="46"/>
      <c r="P181" s="46"/>
      <c r="Q181" s="46"/>
      <c r="R181" s="46"/>
      <c r="S181" s="46"/>
      <c r="T181" s="46"/>
      <c r="U181" s="46"/>
    </row>
    <row r="182" spans="1:21">
      <c r="A182" s="335" t="s">
        <v>19</v>
      </c>
      <c r="B182" s="46"/>
      <c r="C182" s="46"/>
      <c r="D182" s="46"/>
      <c r="E182" s="46"/>
      <c r="F182" s="46"/>
      <c r="G182" s="46"/>
      <c r="H182" s="46"/>
      <c r="I182" s="46"/>
      <c r="J182" s="46"/>
      <c r="K182" s="46"/>
      <c r="L182" s="46"/>
      <c r="M182" s="46"/>
      <c r="N182" s="46"/>
      <c r="O182" s="46"/>
      <c r="P182" s="46"/>
      <c r="Q182" s="46"/>
      <c r="R182" s="46"/>
      <c r="S182" s="46"/>
      <c r="T182" s="46"/>
      <c r="U182" s="46"/>
    </row>
    <row r="183" spans="1:21">
      <c r="A183" s="336" t="s">
        <v>20</v>
      </c>
      <c r="B183" s="336" t="s">
        <v>21</v>
      </c>
      <c r="C183" s="336" t="s">
        <v>18</v>
      </c>
      <c r="D183" s="336" t="s">
        <v>22</v>
      </c>
      <c r="E183" s="336" t="s">
        <v>7</v>
      </c>
      <c r="F183" s="336" t="s">
        <v>13</v>
      </c>
      <c r="G183" s="336" t="s">
        <v>16</v>
      </c>
      <c r="H183" s="336" t="s">
        <v>23</v>
      </c>
      <c r="I183" s="336" t="s">
        <v>24</v>
      </c>
      <c r="J183" s="336" t="s">
        <v>25</v>
      </c>
      <c r="K183" s="336" t="s">
        <v>26</v>
      </c>
      <c r="L183" s="336" t="s">
        <v>27</v>
      </c>
      <c r="M183" s="336" t="s">
        <v>28</v>
      </c>
      <c r="N183" s="336" t="s">
        <v>11</v>
      </c>
      <c r="O183" s="46"/>
      <c r="P183" s="46"/>
      <c r="Q183" s="46"/>
      <c r="R183" s="46"/>
      <c r="S183" s="46"/>
      <c r="T183" s="46"/>
      <c r="U183" s="46"/>
    </row>
    <row r="184" spans="1:21">
      <c r="A184" s="62" t="s">
        <v>1189</v>
      </c>
      <c r="B184" s="407">
        <f>P184</f>
        <v>3.9E-2</v>
      </c>
      <c r="C184" s="46" t="s">
        <v>113</v>
      </c>
      <c r="D184" s="400" t="s">
        <v>2</v>
      </c>
      <c r="E184" s="46" t="s">
        <v>29</v>
      </c>
      <c r="F184" s="32" t="s">
        <v>14</v>
      </c>
      <c r="G184" s="46" t="s">
        <v>30</v>
      </c>
      <c r="H184" s="46">
        <v>1</v>
      </c>
      <c r="I184" s="407">
        <f>B184</f>
        <v>3.9E-2</v>
      </c>
      <c r="J184" s="46" t="s">
        <v>31</v>
      </c>
      <c r="K184" s="46" t="s">
        <v>31</v>
      </c>
      <c r="L184" s="46" t="s">
        <v>31</v>
      </c>
      <c r="M184" s="46" t="s">
        <v>31</v>
      </c>
      <c r="N184" s="46"/>
      <c r="O184" s="46"/>
      <c r="P184" s="184">
        <v>3.9E-2</v>
      </c>
      <c r="Q184" s="46"/>
      <c r="R184" s="46"/>
      <c r="S184" s="46"/>
      <c r="T184" s="46"/>
      <c r="U184" s="46"/>
    </row>
    <row r="185" spans="1:21">
      <c r="A185" s="46" t="s">
        <v>1191</v>
      </c>
      <c r="B185" s="407">
        <f>P185</f>
        <v>3.9E-2</v>
      </c>
      <c r="C185" s="46" t="s">
        <v>113</v>
      </c>
      <c r="D185" s="400" t="s">
        <v>2</v>
      </c>
      <c r="E185" s="46" t="s">
        <v>29</v>
      </c>
      <c r="F185" s="32" t="s">
        <v>14</v>
      </c>
      <c r="G185" s="46" t="s">
        <v>33</v>
      </c>
      <c r="H185" s="46">
        <v>1</v>
      </c>
      <c r="I185" s="407">
        <f>B185</f>
        <v>3.9E-2</v>
      </c>
      <c r="J185" s="46" t="s">
        <v>31</v>
      </c>
      <c r="K185" s="46" t="s">
        <v>31</v>
      </c>
      <c r="L185" s="46" t="s">
        <v>31</v>
      </c>
      <c r="M185" s="46" t="s">
        <v>31</v>
      </c>
      <c r="N185" s="46"/>
      <c r="O185" s="46"/>
      <c r="P185" s="184">
        <v>3.9E-2</v>
      </c>
      <c r="Q185" s="46"/>
      <c r="R185" s="46"/>
      <c r="S185" s="46"/>
      <c r="T185" s="46"/>
      <c r="U185" s="46"/>
    </row>
    <row r="186" spans="1:21">
      <c r="A186" s="338" t="s">
        <v>75</v>
      </c>
      <c r="B186" s="342">
        <f>P186</f>
        <v>2.29</v>
      </c>
      <c r="C186" s="46" t="s">
        <v>39</v>
      </c>
      <c r="D186" s="46" t="s">
        <v>40</v>
      </c>
      <c r="E186" s="46" t="s">
        <v>29</v>
      </c>
      <c r="F186" s="32" t="s">
        <v>35</v>
      </c>
      <c r="G186" s="46" t="s">
        <v>33</v>
      </c>
      <c r="H186" s="46">
        <v>2</v>
      </c>
      <c r="I186" s="46">
        <f t="shared" ref="I186:I187" si="11">LN(B186)</f>
        <v>0.82855181756614826</v>
      </c>
      <c r="J186" s="46">
        <v>0.20928449536456342</v>
      </c>
      <c r="K186" s="46" t="s">
        <v>31</v>
      </c>
      <c r="L186" s="46" t="s">
        <v>31</v>
      </c>
      <c r="M186" s="46" t="s">
        <v>31</v>
      </c>
      <c r="N186" s="46"/>
      <c r="O186" s="393" t="s">
        <v>216</v>
      </c>
      <c r="P186" s="406">
        <f>1.58+0.71</f>
        <v>2.29</v>
      </c>
      <c r="Q186" s="46"/>
      <c r="R186" s="46"/>
      <c r="S186" s="46"/>
      <c r="T186" s="46"/>
      <c r="U186" s="46"/>
    </row>
    <row r="187" spans="1:21">
      <c r="A187" s="338" t="s">
        <v>792</v>
      </c>
      <c r="B187" s="46">
        <f>R187</f>
        <v>4.5999999999999999E-3</v>
      </c>
      <c r="C187" s="46" t="s">
        <v>37</v>
      </c>
      <c r="D187" s="46" t="s">
        <v>40</v>
      </c>
      <c r="E187" s="46" t="s">
        <v>29</v>
      </c>
      <c r="F187" s="32" t="s">
        <v>741</v>
      </c>
      <c r="G187" s="46" t="s">
        <v>33</v>
      </c>
      <c r="H187" s="46">
        <v>2</v>
      </c>
      <c r="I187" s="46">
        <f t="shared" si="11"/>
        <v>-5.3816989754870876</v>
      </c>
      <c r="J187" s="46">
        <v>0.20928449536456342</v>
      </c>
      <c r="K187" s="46" t="s">
        <v>31</v>
      </c>
      <c r="L187" s="46" t="s">
        <v>31</v>
      </c>
      <c r="M187" s="46" t="s">
        <v>31</v>
      </c>
      <c r="N187" s="46"/>
      <c r="O187" s="393" t="s">
        <v>575</v>
      </c>
      <c r="P187" s="120">
        <v>4.5999999999999996</v>
      </c>
      <c r="Q187" s="46" t="s">
        <v>221</v>
      </c>
      <c r="R187" s="46">
        <f>P187*0.001</f>
        <v>4.5999999999999999E-3</v>
      </c>
      <c r="S187" s="46"/>
      <c r="T187" s="46"/>
      <c r="U187" s="46"/>
    </row>
    <row r="188" spans="1:21">
      <c r="A188" s="47" t="s">
        <v>530</v>
      </c>
      <c r="B188" s="46">
        <f>R188</f>
        <v>5.5999999999999999E-3</v>
      </c>
      <c r="C188" s="46" t="s">
        <v>37</v>
      </c>
      <c r="D188" s="46" t="s">
        <v>40</v>
      </c>
      <c r="E188" s="46" t="s">
        <v>29</v>
      </c>
      <c r="F188" s="46" t="s">
        <v>35</v>
      </c>
      <c r="G188" s="46" t="s">
        <v>33</v>
      </c>
      <c r="H188" s="46">
        <v>2</v>
      </c>
      <c r="I188" s="46">
        <f>LN(B188)</f>
        <v>-5.1849886812410331</v>
      </c>
      <c r="J188" s="46">
        <v>0.20928449536456342</v>
      </c>
      <c r="K188" s="46" t="s">
        <v>31</v>
      </c>
      <c r="L188" s="46" t="s">
        <v>31</v>
      </c>
      <c r="M188" s="46" t="s">
        <v>31</v>
      </c>
      <c r="N188" s="46"/>
      <c r="O188" s="393" t="s">
        <v>575</v>
      </c>
      <c r="P188" s="120">
        <v>5.6</v>
      </c>
      <c r="Q188" s="46" t="s">
        <v>221</v>
      </c>
      <c r="R188" s="46">
        <f>P188*0.001</f>
        <v>5.5999999999999999E-3</v>
      </c>
      <c r="S188" s="46"/>
      <c r="T188" s="46"/>
      <c r="U188" s="46"/>
    </row>
    <row r="189" spans="1:21">
      <c r="A189" s="46" t="s">
        <v>777</v>
      </c>
      <c r="B189" s="46">
        <f>R189</f>
        <v>5.5999999999999999E-3</v>
      </c>
      <c r="C189" s="46" t="s">
        <v>37</v>
      </c>
      <c r="D189" s="400" t="s">
        <v>2</v>
      </c>
      <c r="E189" s="46" t="s">
        <v>29</v>
      </c>
      <c r="F189" s="32" t="s">
        <v>741</v>
      </c>
      <c r="G189" s="46" t="s">
        <v>33</v>
      </c>
      <c r="H189" s="46">
        <v>2</v>
      </c>
      <c r="I189" s="46">
        <f t="shared" ref="I189" si="12">LN(B189)</f>
        <v>-5.1849886812410331</v>
      </c>
      <c r="J189" s="46">
        <v>0.20928449536456342</v>
      </c>
      <c r="K189" s="46" t="s">
        <v>31</v>
      </c>
      <c r="L189" s="46" t="s">
        <v>31</v>
      </c>
      <c r="M189" s="46" t="s">
        <v>31</v>
      </c>
      <c r="N189" s="46"/>
      <c r="O189" s="439" t="s">
        <v>575</v>
      </c>
      <c r="P189" s="155">
        <v>5.6</v>
      </c>
      <c r="Q189" s="46" t="s">
        <v>221</v>
      </c>
      <c r="R189" s="46">
        <f t="shared" ref="R189" si="13">0.001*P189</f>
        <v>5.5999999999999999E-3</v>
      </c>
      <c r="S189" s="46"/>
      <c r="T189" s="46"/>
      <c r="U189" s="46"/>
    </row>
    <row r="190" spans="1:21" s="41" customFormat="1">
      <c r="A190" s="362" t="s">
        <v>5</v>
      </c>
      <c r="B190" s="363" t="s">
        <v>1191</v>
      </c>
      <c r="C190" s="364"/>
      <c r="D190" s="345"/>
      <c r="E190" s="345"/>
      <c r="F190" s="345"/>
      <c r="G190" s="345"/>
      <c r="H190" s="345"/>
      <c r="I190" s="345"/>
      <c r="J190" s="345"/>
      <c r="K190" s="345"/>
      <c r="L190" s="345"/>
      <c r="M190" s="345"/>
      <c r="N190" s="345"/>
      <c r="O190" s="345"/>
      <c r="P190" s="345"/>
      <c r="Q190" s="345"/>
      <c r="R190" s="345"/>
      <c r="S190" s="345"/>
      <c r="T190" s="345"/>
      <c r="U190" s="345"/>
    </row>
    <row r="191" spans="1:21">
      <c r="A191" s="338" t="s">
        <v>7</v>
      </c>
      <c r="B191" s="46" t="s">
        <v>779</v>
      </c>
      <c r="C191" s="337"/>
      <c r="D191" s="46"/>
      <c r="E191" s="46"/>
      <c r="F191" s="46"/>
      <c r="G191" s="46"/>
      <c r="H191" s="46"/>
      <c r="I191" s="46"/>
      <c r="J191" s="46"/>
      <c r="K191" s="46"/>
      <c r="L191" s="46"/>
      <c r="M191" s="46"/>
      <c r="N191" s="46"/>
      <c r="O191" s="46"/>
      <c r="P191" s="46"/>
      <c r="Q191" s="46"/>
      <c r="R191" s="46"/>
      <c r="S191" s="46"/>
      <c r="T191" s="46"/>
      <c r="U191" s="46"/>
    </row>
    <row r="192" spans="1:21">
      <c r="A192" s="416" t="s">
        <v>9</v>
      </c>
      <c r="B192" s="46" t="s">
        <v>1192</v>
      </c>
      <c r="C192" s="337"/>
      <c r="D192" s="46"/>
      <c r="E192" s="46"/>
      <c r="F192" s="46"/>
      <c r="G192" s="46"/>
      <c r="H192" s="46"/>
      <c r="I192" s="46"/>
      <c r="J192" s="46"/>
      <c r="K192" s="46"/>
      <c r="L192" s="46"/>
      <c r="M192" s="46"/>
      <c r="N192" s="46"/>
      <c r="O192" s="46"/>
      <c r="P192" s="46"/>
      <c r="Q192" s="46"/>
      <c r="R192" s="46"/>
      <c r="S192" s="46"/>
      <c r="T192" s="46"/>
      <c r="U192" s="46"/>
    </row>
    <row r="193" spans="1:21" ht="15.75" customHeight="1">
      <c r="A193" s="338" t="s">
        <v>11</v>
      </c>
      <c r="B193" s="339" t="s">
        <v>789</v>
      </c>
      <c r="C193" s="46"/>
      <c r="D193" s="46"/>
      <c r="E193" s="46"/>
      <c r="F193" s="46"/>
      <c r="G193" s="46"/>
      <c r="H193" s="46"/>
      <c r="I193" s="46"/>
      <c r="J193" s="46"/>
      <c r="K193" s="46"/>
      <c r="L193" s="46"/>
      <c r="M193" s="46"/>
      <c r="N193" s="46"/>
      <c r="O193" s="46"/>
      <c r="P193" s="46"/>
      <c r="Q193" s="46"/>
      <c r="R193" s="46"/>
      <c r="S193" s="46"/>
      <c r="T193" s="46"/>
      <c r="U193" s="46"/>
    </row>
    <row r="194" spans="1:21">
      <c r="A194" s="338" t="s">
        <v>13</v>
      </c>
      <c r="B194" s="46" t="s">
        <v>14</v>
      </c>
      <c r="C194" s="46"/>
      <c r="D194" s="46"/>
      <c r="E194" s="46"/>
      <c r="F194" s="46"/>
      <c r="G194" s="46"/>
      <c r="H194" s="46"/>
      <c r="I194" s="46"/>
      <c r="J194" s="46"/>
      <c r="K194" s="46"/>
      <c r="L194" s="46"/>
      <c r="M194" s="46"/>
      <c r="N194" s="46"/>
      <c r="O194" s="46"/>
      <c r="P194" s="46"/>
      <c r="Q194" s="336" t="s">
        <v>880</v>
      </c>
      <c r="R194" s="46"/>
      <c r="S194" s="46"/>
      <c r="T194" s="46"/>
      <c r="U194" s="46"/>
    </row>
    <row r="195" spans="1:21">
      <c r="A195" s="338" t="s">
        <v>15</v>
      </c>
      <c r="B195" s="417">
        <f>B200</f>
        <v>0.52</v>
      </c>
      <c r="C195" s="46"/>
      <c r="D195" s="46"/>
      <c r="E195" s="46"/>
      <c r="F195" s="46"/>
      <c r="G195" s="46"/>
      <c r="H195" s="46"/>
      <c r="I195" s="46"/>
      <c r="J195" s="46"/>
      <c r="K195" s="46"/>
      <c r="L195" s="46"/>
      <c r="M195" s="46"/>
      <c r="N195" s="46"/>
      <c r="O195" s="46"/>
      <c r="P195" s="46"/>
      <c r="Q195" s="46" t="s">
        <v>881</v>
      </c>
      <c r="R195" s="46">
        <v>8900</v>
      </c>
      <c r="S195" s="46" t="s">
        <v>882</v>
      </c>
      <c r="T195" s="46"/>
      <c r="U195" s="46"/>
    </row>
    <row r="196" spans="1:21">
      <c r="A196" s="338" t="s">
        <v>16</v>
      </c>
      <c r="B196" s="46" t="s">
        <v>17</v>
      </c>
      <c r="C196" s="46"/>
      <c r="D196" s="46"/>
      <c r="E196" s="46"/>
      <c r="F196" s="46"/>
      <c r="G196" s="46"/>
      <c r="H196" s="46"/>
      <c r="I196" s="46"/>
      <c r="J196" s="46"/>
      <c r="K196" s="46"/>
      <c r="L196" s="46"/>
      <c r="M196" s="46"/>
      <c r="N196" s="46"/>
      <c r="O196" s="46"/>
      <c r="P196" s="46"/>
      <c r="Q196" s="46" t="s">
        <v>883</v>
      </c>
      <c r="R196" s="46">
        <f>5*10^-6</f>
        <v>4.9999999999999996E-6</v>
      </c>
      <c r="S196" s="46" t="s">
        <v>884</v>
      </c>
      <c r="T196" s="46"/>
      <c r="U196" s="46"/>
    </row>
    <row r="197" spans="1:21">
      <c r="A197" s="338" t="s">
        <v>18</v>
      </c>
      <c r="B197" s="46" t="s">
        <v>113</v>
      </c>
      <c r="C197" s="46"/>
      <c r="D197" s="46"/>
      <c r="E197" s="46"/>
      <c r="F197" s="46"/>
      <c r="G197" s="46"/>
      <c r="H197" s="46"/>
      <c r="I197" s="46"/>
      <c r="J197" s="46"/>
      <c r="K197" s="46"/>
      <c r="L197" s="46"/>
      <c r="M197" s="46"/>
      <c r="N197" s="46"/>
      <c r="O197" s="46"/>
      <c r="P197" s="46"/>
      <c r="Q197" s="419" t="s">
        <v>885</v>
      </c>
      <c r="R197" s="420">
        <f>R196*R195</f>
        <v>4.4499999999999998E-2</v>
      </c>
      <c r="S197" s="421" t="s">
        <v>886</v>
      </c>
      <c r="T197" s="46"/>
      <c r="U197" s="46"/>
    </row>
    <row r="198" spans="1:21">
      <c r="A198" s="335" t="s">
        <v>19</v>
      </c>
      <c r="B198" s="46"/>
      <c r="C198" s="46"/>
      <c r="D198" s="46"/>
      <c r="E198" s="46"/>
      <c r="F198" s="46"/>
      <c r="G198" s="46"/>
      <c r="H198" s="46"/>
      <c r="I198" s="46"/>
      <c r="J198" s="46"/>
      <c r="K198" s="46"/>
      <c r="L198" s="46"/>
      <c r="M198" s="46"/>
      <c r="N198" s="46"/>
      <c r="O198" s="46"/>
      <c r="P198" s="46"/>
      <c r="Q198" s="46"/>
      <c r="R198" s="46"/>
      <c r="S198" s="46"/>
      <c r="T198" s="46"/>
      <c r="U198" s="46"/>
    </row>
    <row r="199" spans="1:21">
      <c r="A199" s="336" t="s">
        <v>20</v>
      </c>
      <c r="B199" s="336" t="s">
        <v>21</v>
      </c>
      <c r="C199" s="336" t="s">
        <v>18</v>
      </c>
      <c r="D199" s="336" t="s">
        <v>22</v>
      </c>
      <c r="E199" s="336" t="s">
        <v>7</v>
      </c>
      <c r="F199" s="336" t="s">
        <v>13</v>
      </c>
      <c r="G199" s="336" t="s">
        <v>16</v>
      </c>
      <c r="H199" s="336" t="s">
        <v>23</v>
      </c>
      <c r="I199" s="336" t="s">
        <v>24</v>
      </c>
      <c r="J199" s="336" t="s">
        <v>25</v>
      </c>
      <c r="K199" s="336" t="s">
        <v>26</v>
      </c>
      <c r="L199" s="336" t="s">
        <v>27</v>
      </c>
      <c r="M199" s="336" t="s">
        <v>28</v>
      </c>
      <c r="N199" s="336" t="s">
        <v>11</v>
      </c>
      <c r="O199" s="46"/>
      <c r="P199" s="46"/>
      <c r="Q199" s="46" t="s">
        <v>548</v>
      </c>
      <c r="R199" s="46"/>
      <c r="S199" s="46"/>
      <c r="T199" s="402"/>
      <c r="U199" s="46"/>
    </row>
    <row r="200" spans="1:21">
      <c r="A200" s="46" t="s">
        <v>1191</v>
      </c>
      <c r="B200" s="487">
        <v>0.52</v>
      </c>
      <c r="C200" s="46" t="s">
        <v>113</v>
      </c>
      <c r="D200" s="400" t="s">
        <v>2</v>
      </c>
      <c r="E200" s="46" t="s">
        <v>29</v>
      </c>
      <c r="F200" s="46" t="s">
        <v>14</v>
      </c>
      <c r="G200" s="46" t="s">
        <v>30</v>
      </c>
      <c r="H200" s="46">
        <v>1</v>
      </c>
      <c r="I200" s="407">
        <f>B200</f>
        <v>0.52</v>
      </c>
      <c r="J200" s="46" t="s">
        <v>31</v>
      </c>
      <c r="K200" s="46" t="s">
        <v>31</v>
      </c>
      <c r="L200" s="46" t="s">
        <v>31</v>
      </c>
      <c r="M200" s="46" t="s">
        <v>31</v>
      </c>
      <c r="N200" s="46"/>
      <c r="O200" s="62"/>
      <c r="P200" s="413"/>
      <c r="Q200" s="422">
        <v>0.57999999999999996</v>
      </c>
      <c r="R200" s="423" t="s">
        <v>605</v>
      </c>
      <c r="S200" s="422">
        <f>Q200*R197</f>
        <v>2.5809999999999996E-2</v>
      </c>
      <c r="T200" s="423" t="s">
        <v>221</v>
      </c>
      <c r="U200" s="46"/>
    </row>
    <row r="201" spans="1:21">
      <c r="A201" s="46" t="s">
        <v>1193</v>
      </c>
      <c r="B201" s="487">
        <v>0.52</v>
      </c>
      <c r="C201" s="46" t="s">
        <v>113</v>
      </c>
      <c r="D201" s="400" t="s">
        <v>2</v>
      </c>
      <c r="E201" s="46" t="s">
        <v>29</v>
      </c>
      <c r="F201" s="46" t="s">
        <v>14</v>
      </c>
      <c r="G201" s="46" t="s">
        <v>33</v>
      </c>
      <c r="H201" s="46">
        <v>1</v>
      </c>
      <c r="I201" s="407">
        <f>B201</f>
        <v>0.52</v>
      </c>
      <c r="J201" s="46">
        <v>7.2284161474004766E-2</v>
      </c>
      <c r="K201" s="46" t="s">
        <v>31</v>
      </c>
      <c r="L201" s="46" t="s">
        <v>31</v>
      </c>
      <c r="M201" s="46" t="s">
        <v>31</v>
      </c>
      <c r="N201" s="46"/>
      <c r="O201" s="62"/>
      <c r="P201" s="413"/>
      <c r="Q201" s="46"/>
      <c r="R201" s="46"/>
      <c r="S201" s="46"/>
      <c r="T201" s="46"/>
      <c r="U201" s="46"/>
    </row>
    <row r="202" spans="1:21">
      <c r="A202" s="62" t="s">
        <v>1148</v>
      </c>
      <c r="B202" s="412">
        <f>S200</f>
        <v>2.5809999999999996E-2</v>
      </c>
      <c r="C202" s="46" t="s">
        <v>37</v>
      </c>
      <c r="D202" s="400" t="s">
        <v>2</v>
      </c>
      <c r="E202" s="46" t="s">
        <v>29</v>
      </c>
      <c r="F202" s="32" t="s">
        <v>14</v>
      </c>
      <c r="G202" s="46" t="s">
        <v>33</v>
      </c>
      <c r="H202" s="46">
        <v>1</v>
      </c>
      <c r="I202" s="407">
        <f>B202</f>
        <v>2.5809999999999996E-2</v>
      </c>
      <c r="J202" s="46">
        <v>7.2284161474004766E-2</v>
      </c>
      <c r="K202" s="46" t="s">
        <v>31</v>
      </c>
      <c r="L202" s="46" t="s">
        <v>31</v>
      </c>
      <c r="M202" s="46" t="s">
        <v>31</v>
      </c>
      <c r="N202" s="46"/>
      <c r="O202" s="62"/>
      <c r="P202" s="413"/>
      <c r="Q202" s="46"/>
      <c r="R202" s="46"/>
      <c r="S202" s="46"/>
      <c r="T202" s="46"/>
      <c r="U202" s="46"/>
    </row>
    <row r="203" spans="1:21">
      <c r="A203" s="338" t="s">
        <v>792</v>
      </c>
      <c r="B203" s="46">
        <f>P203</f>
        <v>4.7</v>
      </c>
      <c r="C203" s="46" t="s">
        <v>37</v>
      </c>
      <c r="D203" s="46" t="s">
        <v>40</v>
      </c>
      <c r="E203" s="46" t="s">
        <v>29</v>
      </c>
      <c r="F203" s="32" t="s">
        <v>741</v>
      </c>
      <c r="G203" s="46" t="s">
        <v>33</v>
      </c>
      <c r="H203" s="46">
        <v>2</v>
      </c>
      <c r="I203" s="46">
        <f t="shared" ref="I203" si="14">LN(B203)</f>
        <v>1.547562508716013</v>
      </c>
      <c r="J203" s="46">
        <v>7.2284161474004766E-2</v>
      </c>
      <c r="K203" s="46" t="s">
        <v>31</v>
      </c>
      <c r="L203" s="46" t="s">
        <v>31</v>
      </c>
      <c r="M203" s="46" t="s">
        <v>31</v>
      </c>
      <c r="N203" s="46"/>
      <c r="O203" s="469" t="s">
        <v>221</v>
      </c>
      <c r="P203" s="120">
        <v>4.7</v>
      </c>
      <c r="Q203" s="46"/>
      <c r="R203" s="46"/>
      <c r="S203" s="46"/>
      <c r="T203" s="46"/>
      <c r="U203" s="46"/>
    </row>
    <row r="204" spans="1:21">
      <c r="A204" s="47" t="s">
        <v>869</v>
      </c>
      <c r="B204" s="443">
        <f>R204</f>
        <v>1.9999999999999999E-7</v>
      </c>
      <c r="C204" s="46" t="s">
        <v>37</v>
      </c>
      <c r="D204" s="46" t="s">
        <v>40</v>
      </c>
      <c r="E204" s="46" t="s">
        <v>29</v>
      </c>
      <c r="F204" s="32" t="s">
        <v>58</v>
      </c>
      <c r="G204" s="46" t="s">
        <v>33</v>
      </c>
      <c r="H204" s="46">
        <v>2</v>
      </c>
      <c r="I204" s="46">
        <f>LN(B204)</f>
        <v>-15.424948470398375</v>
      </c>
      <c r="J204" s="46">
        <v>7.2284161474004766E-2</v>
      </c>
      <c r="K204" s="46" t="s">
        <v>31</v>
      </c>
      <c r="L204" s="46" t="s">
        <v>31</v>
      </c>
      <c r="M204" s="46" t="s">
        <v>31</v>
      </c>
      <c r="N204" s="46"/>
      <c r="O204" s="408" t="s">
        <v>523</v>
      </c>
      <c r="P204" s="168">
        <v>0.2</v>
      </c>
      <c r="Q204" s="46" t="s">
        <v>221</v>
      </c>
      <c r="R204" s="46">
        <f>0.000001*P204</f>
        <v>1.9999999999999999E-7</v>
      </c>
      <c r="S204" s="46"/>
      <c r="T204" s="46"/>
      <c r="U204" s="46"/>
    </row>
    <row r="205" spans="1:21">
      <c r="A205" s="47" t="s">
        <v>226</v>
      </c>
      <c r="B205" s="443">
        <f>R205</f>
        <v>4.7000000000000002E-3</v>
      </c>
      <c r="C205" s="46" t="s">
        <v>42</v>
      </c>
      <c r="D205" s="46" t="s">
        <v>40</v>
      </c>
      <c r="E205" s="46" t="s">
        <v>29</v>
      </c>
      <c r="F205" s="32" t="s">
        <v>741</v>
      </c>
      <c r="G205" s="46" t="s">
        <v>33</v>
      </c>
      <c r="H205" s="46">
        <v>2</v>
      </c>
      <c r="I205" s="46">
        <f t="shared" ref="I205" si="15">LN(B205)</f>
        <v>-5.3601927702661243</v>
      </c>
      <c r="J205" s="46">
        <v>7.2284161474004766E-2</v>
      </c>
      <c r="K205" s="46" t="s">
        <v>31</v>
      </c>
      <c r="L205" s="46" t="s">
        <v>31</v>
      </c>
      <c r="M205" s="46" t="s">
        <v>31</v>
      </c>
      <c r="N205" s="46"/>
      <c r="O205" s="410" t="s">
        <v>858</v>
      </c>
      <c r="P205" s="155">
        <v>4.7</v>
      </c>
      <c r="Q205" s="46" t="s">
        <v>219</v>
      </c>
      <c r="R205" s="46">
        <f>0.001*P205</f>
        <v>4.7000000000000002E-3</v>
      </c>
      <c r="S205" s="46"/>
      <c r="T205" s="46"/>
      <c r="U205" s="46"/>
    </row>
    <row r="206" spans="1:21" s="41" customFormat="1">
      <c r="A206" s="362" t="s">
        <v>5</v>
      </c>
      <c r="B206" s="363" t="s">
        <v>1193</v>
      </c>
      <c r="C206" s="364"/>
      <c r="D206" s="345"/>
      <c r="E206" s="345"/>
      <c r="F206" s="345"/>
      <c r="G206" s="345"/>
      <c r="H206" s="345"/>
      <c r="I206" s="345"/>
      <c r="J206" s="345"/>
      <c r="K206" s="345"/>
      <c r="L206" s="345"/>
      <c r="M206" s="345"/>
      <c r="N206" s="345"/>
      <c r="O206" s="345"/>
      <c r="P206" s="345"/>
      <c r="Q206" s="345"/>
      <c r="R206" s="345"/>
      <c r="S206" s="345"/>
      <c r="T206" s="345"/>
      <c r="U206" s="345"/>
    </row>
    <row r="207" spans="1:21">
      <c r="A207" s="338" t="s">
        <v>7</v>
      </c>
      <c r="B207" s="46" t="s">
        <v>779</v>
      </c>
      <c r="C207" s="337"/>
      <c r="D207" s="46"/>
      <c r="E207" s="46"/>
      <c r="F207" s="46"/>
      <c r="G207" s="46"/>
      <c r="H207" s="46"/>
      <c r="I207" s="46"/>
      <c r="J207" s="46"/>
      <c r="K207" s="46"/>
      <c r="L207" s="46"/>
      <c r="M207" s="46"/>
      <c r="N207" s="46"/>
      <c r="O207" s="46"/>
      <c r="P207" s="46"/>
      <c r="Q207" s="46"/>
      <c r="R207" s="46"/>
      <c r="S207" s="46"/>
      <c r="T207" s="46"/>
      <c r="U207" s="46"/>
    </row>
    <row r="208" spans="1:21">
      <c r="A208" s="416" t="s">
        <v>9</v>
      </c>
      <c r="B208" s="46" t="s">
        <v>1194</v>
      </c>
      <c r="C208" s="337"/>
      <c r="D208" s="46"/>
      <c r="E208" s="46"/>
      <c r="F208" s="46"/>
      <c r="G208" s="46"/>
      <c r="H208" s="46"/>
      <c r="I208" s="46"/>
      <c r="J208" s="46"/>
      <c r="K208" s="46"/>
      <c r="L208" s="46"/>
      <c r="M208" s="46"/>
      <c r="N208" s="46"/>
      <c r="O208" s="46"/>
      <c r="P208" s="46"/>
      <c r="Q208" s="46"/>
      <c r="R208" s="46"/>
      <c r="S208" s="46"/>
      <c r="T208" s="46"/>
      <c r="U208" s="46"/>
    </row>
    <row r="209" spans="1:21" ht="15.75" customHeight="1">
      <c r="A209" s="338" t="s">
        <v>11</v>
      </c>
      <c r="B209" s="339" t="s">
        <v>789</v>
      </c>
      <c r="C209" s="46"/>
      <c r="D209" s="46"/>
      <c r="E209" s="46"/>
      <c r="F209" s="46"/>
      <c r="G209" s="46"/>
      <c r="H209" s="46"/>
      <c r="I209" s="46"/>
      <c r="J209" s="46"/>
      <c r="K209" s="46"/>
      <c r="L209" s="46"/>
      <c r="M209" s="46"/>
      <c r="N209" s="46"/>
      <c r="O209" s="46"/>
      <c r="P209" s="46"/>
      <c r="Q209" s="46"/>
      <c r="R209" s="46"/>
      <c r="S209" s="46"/>
      <c r="T209" s="46"/>
      <c r="U209" s="46"/>
    </row>
    <row r="210" spans="1:21">
      <c r="A210" s="338" t="s">
        <v>13</v>
      </c>
      <c r="B210" s="46" t="s">
        <v>14</v>
      </c>
      <c r="C210" s="46"/>
      <c r="D210" s="46"/>
      <c r="E210" s="46"/>
      <c r="F210" s="46"/>
      <c r="G210" s="46"/>
      <c r="H210" s="46"/>
      <c r="I210" s="46"/>
      <c r="J210" s="46"/>
      <c r="K210" s="46"/>
      <c r="L210" s="46"/>
      <c r="M210" s="46"/>
      <c r="N210" s="46"/>
      <c r="O210" s="46"/>
      <c r="P210" s="46"/>
      <c r="Q210" s="46"/>
      <c r="R210" s="46"/>
      <c r="S210" s="46"/>
      <c r="T210" s="46"/>
      <c r="U210" s="46"/>
    </row>
    <row r="211" spans="1:21">
      <c r="A211" s="338" t="s">
        <v>15</v>
      </c>
      <c r="B211" s="417">
        <f>B216</f>
        <v>0.52</v>
      </c>
      <c r="C211" s="46"/>
      <c r="D211" s="46"/>
      <c r="E211" s="46"/>
      <c r="F211" s="46"/>
      <c r="G211" s="46"/>
      <c r="H211" s="46"/>
      <c r="I211" s="46"/>
      <c r="J211" s="46"/>
      <c r="K211" s="46"/>
      <c r="L211" s="46"/>
      <c r="M211" s="46"/>
      <c r="N211" s="46"/>
      <c r="O211" s="46"/>
      <c r="P211" s="46"/>
      <c r="Q211" s="46"/>
      <c r="R211" s="46"/>
      <c r="S211" s="46"/>
      <c r="T211" s="46"/>
      <c r="U211" s="46"/>
    </row>
    <row r="212" spans="1:21">
      <c r="A212" s="338" t="s">
        <v>16</v>
      </c>
      <c r="B212" s="46" t="s">
        <v>17</v>
      </c>
      <c r="C212" s="46"/>
      <c r="D212" s="46"/>
      <c r="E212" s="46"/>
      <c r="F212" s="46"/>
      <c r="G212" s="46"/>
      <c r="H212" s="46"/>
      <c r="I212" s="46"/>
      <c r="J212" s="46"/>
      <c r="K212" s="46"/>
      <c r="L212" s="46"/>
      <c r="M212" s="46"/>
      <c r="N212" s="46"/>
      <c r="O212" s="46"/>
      <c r="P212" s="46"/>
      <c r="Q212" s="46"/>
      <c r="R212" s="46"/>
      <c r="S212" s="46"/>
      <c r="T212" s="46"/>
      <c r="U212" s="46"/>
    </row>
    <row r="213" spans="1:21">
      <c r="A213" s="338" t="s">
        <v>18</v>
      </c>
      <c r="B213" s="46" t="s">
        <v>113</v>
      </c>
      <c r="C213" s="46"/>
      <c r="D213" s="46"/>
      <c r="E213" s="46"/>
      <c r="F213" s="46"/>
      <c r="G213" s="46"/>
      <c r="H213" s="46"/>
      <c r="I213" s="46"/>
      <c r="J213" s="46"/>
      <c r="K213" s="46"/>
      <c r="L213" s="46"/>
      <c r="M213" s="46"/>
      <c r="N213" s="46"/>
      <c r="O213" s="46"/>
      <c r="P213" s="46"/>
      <c r="Q213" s="46"/>
      <c r="R213" s="46"/>
      <c r="S213" s="407"/>
      <c r="T213" s="46"/>
      <c r="U213" s="46"/>
    </row>
    <row r="214" spans="1:21">
      <c r="A214" s="335" t="s">
        <v>19</v>
      </c>
      <c r="B214" s="46"/>
      <c r="C214" s="46"/>
      <c r="D214" s="46"/>
      <c r="E214" s="46"/>
      <c r="F214" s="46"/>
      <c r="G214" s="46"/>
      <c r="H214" s="46"/>
      <c r="I214" s="46"/>
      <c r="J214" s="46"/>
      <c r="K214" s="46"/>
      <c r="L214" s="46"/>
      <c r="M214" s="46"/>
      <c r="N214" s="46"/>
      <c r="O214" s="46"/>
      <c r="P214" s="46"/>
      <c r="Q214" s="46"/>
      <c r="R214" s="46"/>
      <c r="S214" s="46"/>
      <c r="T214" s="46"/>
      <c r="U214" s="46"/>
    </row>
    <row r="215" spans="1:21">
      <c r="A215" s="336" t="s">
        <v>20</v>
      </c>
      <c r="B215" s="336" t="s">
        <v>21</v>
      </c>
      <c r="C215" s="336" t="s">
        <v>18</v>
      </c>
      <c r="D215" s="336" t="s">
        <v>22</v>
      </c>
      <c r="E215" s="336" t="s">
        <v>7</v>
      </c>
      <c r="F215" s="336" t="s">
        <v>13</v>
      </c>
      <c r="G215" s="336" t="s">
        <v>16</v>
      </c>
      <c r="H215" s="336" t="s">
        <v>23</v>
      </c>
      <c r="I215" s="336" t="s">
        <v>24</v>
      </c>
      <c r="J215" s="336" t="s">
        <v>25</v>
      </c>
      <c r="K215" s="336" t="s">
        <v>26</v>
      </c>
      <c r="L215" s="336" t="s">
        <v>27</v>
      </c>
      <c r="M215" s="336" t="s">
        <v>28</v>
      </c>
      <c r="N215" s="336" t="s">
        <v>11</v>
      </c>
      <c r="O215" s="46"/>
      <c r="P215" s="46"/>
      <c r="Q215" s="46"/>
      <c r="R215" s="46"/>
      <c r="S215" s="46"/>
      <c r="T215" s="46"/>
      <c r="U215" s="46"/>
    </row>
    <row r="216" spans="1:21">
      <c r="A216" s="46" t="s">
        <v>1193</v>
      </c>
      <c r="B216" s="407">
        <f>P216</f>
        <v>0.52</v>
      </c>
      <c r="C216" s="46" t="s">
        <v>113</v>
      </c>
      <c r="D216" s="400" t="s">
        <v>2</v>
      </c>
      <c r="E216" s="46" t="s">
        <v>29</v>
      </c>
      <c r="F216" s="46" t="s">
        <v>14</v>
      </c>
      <c r="G216" s="46" t="s">
        <v>30</v>
      </c>
      <c r="H216" s="46">
        <v>1</v>
      </c>
      <c r="I216" s="407">
        <f>B216</f>
        <v>0.52</v>
      </c>
      <c r="J216" s="46" t="s">
        <v>31</v>
      </c>
      <c r="K216" s="46" t="s">
        <v>31</v>
      </c>
      <c r="L216" s="46" t="s">
        <v>31</v>
      </c>
      <c r="M216" s="46" t="s">
        <v>31</v>
      </c>
      <c r="N216" s="46"/>
      <c r="O216" s="393" t="s">
        <v>605</v>
      </c>
      <c r="P216" s="447">
        <v>0.52</v>
      </c>
      <c r="Q216" s="46"/>
      <c r="R216" s="46"/>
      <c r="S216" s="46"/>
      <c r="T216" s="46"/>
      <c r="U216" s="46"/>
    </row>
    <row r="217" spans="1:21">
      <c r="A217" s="46" t="s">
        <v>1151</v>
      </c>
      <c r="B217" s="407">
        <f>'[4]Same processes'!B46</f>
        <v>0.25</v>
      </c>
      <c r="C217" s="46" t="s">
        <v>37</v>
      </c>
      <c r="D217" s="400" t="s">
        <v>2</v>
      </c>
      <c r="E217" s="46" t="s">
        <v>29</v>
      </c>
      <c r="F217" s="46" t="s">
        <v>14</v>
      </c>
      <c r="G217" s="46" t="s">
        <v>33</v>
      </c>
      <c r="H217" s="46">
        <v>1</v>
      </c>
      <c r="I217" s="407">
        <f>B217</f>
        <v>0.25</v>
      </c>
      <c r="J217" s="46" t="s">
        <v>31</v>
      </c>
      <c r="K217" s="46" t="s">
        <v>31</v>
      </c>
      <c r="L217" s="46" t="s">
        <v>31</v>
      </c>
      <c r="M217" s="46" t="s">
        <v>31</v>
      </c>
      <c r="N217" s="46"/>
      <c r="O217" s="424"/>
      <c r="P217" s="447">
        <v>0.52</v>
      </c>
      <c r="Q217" s="46" t="s">
        <v>1039</v>
      </c>
      <c r="R217" s="46"/>
      <c r="S217" s="46"/>
      <c r="T217" s="46"/>
      <c r="U217" s="46"/>
    </row>
    <row r="218" spans="1:21">
      <c r="A218" s="338" t="s">
        <v>75</v>
      </c>
      <c r="B218" s="342">
        <f>P218</f>
        <v>0.27</v>
      </c>
      <c r="C218" s="46" t="s">
        <v>39</v>
      </c>
      <c r="D218" s="46" t="s">
        <v>40</v>
      </c>
      <c r="E218" s="46" t="s">
        <v>29</v>
      </c>
      <c r="F218" s="32" t="s">
        <v>35</v>
      </c>
      <c r="G218" s="46" t="s">
        <v>33</v>
      </c>
      <c r="H218" s="46">
        <v>2</v>
      </c>
      <c r="I218" s="46">
        <f t="shared" ref="I218:I219" si="16">LN(B218)</f>
        <v>-1.3093333199837622</v>
      </c>
      <c r="J218" s="46">
        <v>7.2284161474004766E-2</v>
      </c>
      <c r="K218" s="46" t="s">
        <v>31</v>
      </c>
      <c r="L218" s="46" t="s">
        <v>31</v>
      </c>
      <c r="M218" s="46" t="s">
        <v>31</v>
      </c>
      <c r="N218" s="46"/>
      <c r="O218" s="393" t="s">
        <v>216</v>
      </c>
      <c r="P218" s="120">
        <v>0.27</v>
      </c>
      <c r="Q218" s="46"/>
      <c r="R218" s="46"/>
      <c r="S218" s="46"/>
      <c r="T218" s="46"/>
      <c r="U218" s="46"/>
    </row>
    <row r="219" spans="1:21">
      <c r="A219" s="47" t="s">
        <v>547</v>
      </c>
      <c r="B219" s="46">
        <f>R219</f>
        <v>6.0000000000000001E-3</v>
      </c>
      <c r="C219" s="407" t="s">
        <v>37</v>
      </c>
      <c r="D219" s="46" t="s">
        <v>40</v>
      </c>
      <c r="E219" s="46" t="s">
        <v>29</v>
      </c>
      <c r="F219" s="46" t="s">
        <v>58</v>
      </c>
      <c r="G219" s="46" t="s">
        <v>33</v>
      </c>
      <c r="H219" s="46">
        <v>2</v>
      </c>
      <c r="I219" s="46">
        <f t="shared" si="16"/>
        <v>-5.1159958097540823</v>
      </c>
      <c r="J219" s="46">
        <v>7.2284161474004766E-2</v>
      </c>
      <c r="K219" s="46" t="s">
        <v>31</v>
      </c>
      <c r="L219" s="46" t="s">
        <v>31</v>
      </c>
      <c r="M219" s="46" t="s">
        <v>31</v>
      </c>
      <c r="N219" s="46"/>
      <c r="O219" s="393" t="s">
        <v>575</v>
      </c>
      <c r="P219" s="120">
        <v>6</v>
      </c>
      <c r="Q219" s="46" t="s">
        <v>221</v>
      </c>
      <c r="R219" s="46">
        <f>P219*0.001</f>
        <v>6.0000000000000001E-3</v>
      </c>
      <c r="S219" s="46"/>
      <c r="T219" s="46"/>
      <c r="U219" s="46"/>
    </row>
    <row r="220" spans="1:21">
      <c r="A220" s="61" t="s">
        <v>866</v>
      </c>
      <c r="B220" s="46">
        <f t="shared" ref="B220:B221" si="17">R220</f>
        <v>1.0999999999999999E-2</v>
      </c>
      <c r="C220" s="46" t="s">
        <v>37</v>
      </c>
      <c r="D220" s="46" t="s">
        <v>40</v>
      </c>
      <c r="E220" s="46" t="s">
        <v>29</v>
      </c>
      <c r="F220" s="32" t="s">
        <v>35</v>
      </c>
      <c r="G220" s="46" t="s">
        <v>33</v>
      </c>
      <c r="H220" s="46">
        <v>2</v>
      </c>
      <c r="I220" s="46">
        <f>LN(B220)</f>
        <v>-4.5098600061837661</v>
      </c>
      <c r="J220" s="46">
        <v>7.2284161474004766E-2</v>
      </c>
      <c r="K220" s="46" t="s">
        <v>31</v>
      </c>
      <c r="L220" s="46" t="s">
        <v>31</v>
      </c>
      <c r="M220" s="46" t="s">
        <v>31</v>
      </c>
      <c r="N220" s="46"/>
      <c r="O220" s="393" t="s">
        <v>575</v>
      </c>
      <c r="P220" s="120">
        <v>11</v>
      </c>
      <c r="Q220" s="46" t="s">
        <v>221</v>
      </c>
      <c r="R220" s="46">
        <f>P220*0.001</f>
        <v>1.0999999999999999E-2</v>
      </c>
      <c r="S220" s="46"/>
      <c r="T220" s="46"/>
      <c r="U220" s="46"/>
    </row>
    <row r="221" spans="1:21">
      <c r="A221" s="338" t="s">
        <v>792</v>
      </c>
      <c r="B221" s="46">
        <f t="shared" si="17"/>
        <v>10.1</v>
      </c>
      <c r="C221" s="46" t="s">
        <v>37</v>
      </c>
      <c r="D221" s="46" t="s">
        <v>40</v>
      </c>
      <c r="E221" s="46" t="s">
        <v>29</v>
      </c>
      <c r="F221" s="32" t="s">
        <v>741</v>
      </c>
      <c r="G221" s="46" t="s">
        <v>33</v>
      </c>
      <c r="H221" s="46">
        <v>2</v>
      </c>
      <c r="I221" s="46">
        <f t="shared" ref="I221:I222" si="18">LN(B221)</f>
        <v>2.3125354238472138</v>
      </c>
      <c r="J221" s="46">
        <v>7.2284161474004766E-2</v>
      </c>
      <c r="K221" s="46" t="s">
        <v>31</v>
      </c>
      <c r="L221" s="46" t="s">
        <v>31</v>
      </c>
      <c r="M221" s="46" t="s">
        <v>31</v>
      </c>
      <c r="N221" s="46"/>
      <c r="O221" s="393" t="s">
        <v>221</v>
      </c>
      <c r="P221" s="120">
        <v>10.1</v>
      </c>
      <c r="Q221" s="46" t="s">
        <v>221</v>
      </c>
      <c r="R221" s="46">
        <f>P221</f>
        <v>10.1</v>
      </c>
      <c r="S221" s="46"/>
      <c r="T221" s="46"/>
      <c r="U221" s="46"/>
    </row>
    <row r="222" spans="1:21">
      <c r="A222" s="47" t="s">
        <v>226</v>
      </c>
      <c r="B222" s="46">
        <f>R222</f>
        <v>1.01E-2</v>
      </c>
      <c r="C222" s="46" t="s">
        <v>42</v>
      </c>
      <c r="D222" s="46" t="s">
        <v>40</v>
      </c>
      <c r="E222" s="46" t="s">
        <v>29</v>
      </c>
      <c r="F222" s="32" t="s">
        <v>741</v>
      </c>
      <c r="G222" s="46" t="s">
        <v>33</v>
      </c>
      <c r="H222" s="46">
        <v>2</v>
      </c>
      <c r="I222" s="46">
        <f t="shared" si="18"/>
        <v>-4.595219855134923</v>
      </c>
      <c r="J222" s="46">
        <v>7.2284161474004766E-2</v>
      </c>
      <c r="K222" s="46" t="s">
        <v>31</v>
      </c>
      <c r="L222" s="46" t="s">
        <v>31</v>
      </c>
      <c r="M222" s="46" t="s">
        <v>31</v>
      </c>
      <c r="N222" s="46"/>
      <c r="O222" s="410" t="s">
        <v>858</v>
      </c>
      <c r="P222" s="155">
        <v>10.1</v>
      </c>
      <c r="Q222" s="46" t="s">
        <v>219</v>
      </c>
      <c r="R222" s="46">
        <f>0.001*P222</f>
        <v>1.01E-2</v>
      </c>
      <c r="S222" s="46"/>
      <c r="T222" s="46"/>
      <c r="U222" s="46"/>
    </row>
    <row r="223" spans="1:21" s="41" customFormat="1">
      <c r="A223" s="362" t="s">
        <v>5</v>
      </c>
      <c r="B223" s="438" t="s">
        <v>1186</v>
      </c>
      <c r="C223" s="364"/>
      <c r="D223" s="345"/>
      <c r="E223" s="345"/>
      <c r="F223" s="345"/>
      <c r="G223" s="345"/>
      <c r="H223" s="345"/>
      <c r="I223" s="345"/>
      <c r="J223" s="345"/>
      <c r="K223" s="345"/>
      <c r="L223" s="345"/>
      <c r="M223" s="345"/>
      <c r="N223" s="345"/>
      <c r="O223" s="345"/>
      <c r="P223" s="46"/>
      <c r="Q223" s="345"/>
      <c r="R223" s="345"/>
      <c r="S223" s="345"/>
      <c r="T223" s="345"/>
      <c r="U223" s="345"/>
    </row>
    <row r="224" spans="1:21">
      <c r="A224" s="338" t="s">
        <v>7</v>
      </c>
      <c r="B224" s="46" t="s">
        <v>779</v>
      </c>
      <c r="C224" s="337"/>
      <c r="D224" s="46"/>
      <c r="E224" s="46"/>
      <c r="F224" s="46"/>
      <c r="G224" s="46"/>
      <c r="H224" s="46"/>
      <c r="I224" s="46"/>
      <c r="J224" s="46"/>
      <c r="K224" s="46"/>
      <c r="L224" s="46"/>
      <c r="M224" s="46"/>
      <c r="N224" s="46"/>
      <c r="O224" s="46"/>
      <c r="P224" s="46"/>
      <c r="Q224" s="46"/>
      <c r="R224" s="46"/>
      <c r="S224" s="46"/>
      <c r="T224" s="46"/>
      <c r="U224" s="46"/>
    </row>
    <row r="225" spans="1:21">
      <c r="A225" s="416" t="s">
        <v>9</v>
      </c>
      <c r="B225" s="46" t="s">
        <v>1195</v>
      </c>
      <c r="C225" s="337"/>
      <c r="D225" s="46"/>
      <c r="E225" s="46"/>
      <c r="F225" s="46"/>
      <c r="G225" s="46"/>
      <c r="H225" s="46"/>
      <c r="I225" s="46"/>
      <c r="J225" s="46"/>
      <c r="K225" s="46"/>
      <c r="L225" s="46"/>
      <c r="M225" s="46"/>
      <c r="N225" s="46"/>
      <c r="O225" s="46"/>
      <c r="P225" s="46"/>
      <c r="Q225" s="46"/>
      <c r="R225" s="46"/>
      <c r="S225" s="46"/>
      <c r="T225" s="46"/>
      <c r="U225" s="46"/>
    </row>
    <row r="226" spans="1:21" ht="15.75" customHeight="1">
      <c r="A226" s="338" t="s">
        <v>11</v>
      </c>
      <c r="B226" s="339" t="s">
        <v>789</v>
      </c>
      <c r="C226" s="46"/>
      <c r="D226" s="46"/>
      <c r="E226" s="46"/>
      <c r="F226" s="46"/>
      <c r="G226" s="46"/>
      <c r="H226" s="46"/>
      <c r="I226" s="46"/>
      <c r="J226" s="46"/>
      <c r="K226" s="46"/>
      <c r="L226" s="46"/>
      <c r="M226" s="46"/>
      <c r="N226" s="46"/>
      <c r="O226" s="46"/>
      <c r="P226" s="46"/>
      <c r="Q226" s="46"/>
      <c r="R226" s="46"/>
      <c r="S226" s="46"/>
      <c r="T226" s="46"/>
      <c r="U226" s="46"/>
    </row>
    <row r="227" spans="1:21">
      <c r="A227" s="338" t="s">
        <v>13</v>
      </c>
      <c r="B227" s="46" t="s">
        <v>14</v>
      </c>
      <c r="C227" s="46"/>
      <c r="D227" s="46"/>
      <c r="E227" s="46"/>
      <c r="F227" s="46"/>
      <c r="G227" s="46"/>
      <c r="H227" s="46"/>
      <c r="I227" s="46"/>
      <c r="J227" s="46"/>
      <c r="K227" s="46"/>
      <c r="L227" s="46"/>
      <c r="M227" s="46"/>
      <c r="N227" s="46"/>
      <c r="O227" s="46"/>
      <c r="P227" s="46"/>
      <c r="Q227" s="46"/>
      <c r="R227" s="46"/>
      <c r="S227" s="46"/>
      <c r="T227" s="46"/>
      <c r="U227" s="46"/>
    </row>
    <row r="228" spans="1:21">
      <c r="A228" s="338" t="s">
        <v>15</v>
      </c>
      <c r="B228" s="417">
        <f>B233</f>
        <v>1.2E-2</v>
      </c>
      <c r="C228" s="46"/>
      <c r="D228" s="46"/>
      <c r="E228" s="46"/>
      <c r="F228" s="46"/>
      <c r="G228" s="46"/>
      <c r="H228" s="46"/>
      <c r="I228" s="46"/>
      <c r="J228" s="46"/>
      <c r="K228" s="46"/>
      <c r="L228" s="46"/>
      <c r="M228" s="46"/>
      <c r="N228" s="46"/>
      <c r="O228" s="46"/>
      <c r="P228" s="46"/>
      <c r="Q228" s="46"/>
      <c r="R228" s="46"/>
      <c r="S228" s="46"/>
      <c r="T228" s="46"/>
      <c r="U228" s="46"/>
    </row>
    <row r="229" spans="1:21">
      <c r="A229" s="338" t="s">
        <v>16</v>
      </c>
      <c r="B229" s="46" t="s">
        <v>17</v>
      </c>
      <c r="C229" s="46"/>
      <c r="D229" s="46"/>
      <c r="E229" s="46"/>
      <c r="F229" s="46"/>
      <c r="G229" s="46"/>
      <c r="H229" s="46"/>
      <c r="I229" s="46"/>
      <c r="J229" s="46"/>
      <c r="K229" s="46"/>
      <c r="L229" s="46"/>
      <c r="M229" s="46"/>
      <c r="N229" s="46"/>
      <c r="O229" s="46"/>
      <c r="P229" s="46"/>
      <c r="Q229" s="46"/>
      <c r="R229" s="46"/>
      <c r="S229" s="46"/>
      <c r="T229" s="46"/>
      <c r="U229" s="46"/>
    </row>
    <row r="230" spans="1:21">
      <c r="A230" s="338" t="s">
        <v>18</v>
      </c>
      <c r="B230" s="46" t="s">
        <v>113</v>
      </c>
      <c r="C230" s="46"/>
      <c r="D230" s="46"/>
      <c r="E230" s="46"/>
      <c r="F230" s="46"/>
      <c r="G230" s="46"/>
      <c r="H230" s="46"/>
      <c r="I230" s="46"/>
      <c r="J230" s="46"/>
      <c r="K230" s="46"/>
      <c r="L230" s="46"/>
      <c r="M230" s="46"/>
      <c r="N230" s="46"/>
      <c r="O230" s="46"/>
      <c r="P230" s="46"/>
      <c r="Q230" s="46"/>
      <c r="R230" s="46"/>
      <c r="S230" s="46"/>
      <c r="T230" s="46"/>
      <c r="U230" s="46"/>
    </row>
    <row r="231" spans="1:21">
      <c r="A231" s="335" t="s">
        <v>19</v>
      </c>
      <c r="B231" s="46"/>
      <c r="C231" s="46"/>
      <c r="D231" s="46"/>
      <c r="E231" s="46"/>
      <c r="F231" s="46"/>
      <c r="G231" s="46"/>
      <c r="H231" s="46"/>
      <c r="I231" s="46"/>
      <c r="J231" s="46"/>
      <c r="K231" s="46"/>
      <c r="L231" s="46"/>
      <c r="M231" s="46"/>
      <c r="N231" s="46"/>
      <c r="O231" s="46"/>
      <c r="P231" s="46"/>
      <c r="Q231" s="46"/>
      <c r="R231" s="46"/>
      <c r="S231" s="46"/>
      <c r="T231" s="46"/>
      <c r="U231" s="46"/>
    </row>
    <row r="232" spans="1:21">
      <c r="A232" s="336" t="s">
        <v>20</v>
      </c>
      <c r="B232" s="336" t="s">
        <v>21</v>
      </c>
      <c r="C232" s="336" t="s">
        <v>18</v>
      </c>
      <c r="D232" s="336" t="s">
        <v>22</v>
      </c>
      <c r="E232" s="336" t="s">
        <v>7</v>
      </c>
      <c r="F232" s="336" t="s">
        <v>13</v>
      </c>
      <c r="G232" s="336" t="s">
        <v>16</v>
      </c>
      <c r="H232" s="336" t="s">
        <v>23</v>
      </c>
      <c r="I232" s="336" t="s">
        <v>24</v>
      </c>
      <c r="J232" s="336" t="s">
        <v>25</v>
      </c>
      <c r="K232" s="336" t="s">
        <v>26</v>
      </c>
      <c r="L232" s="336" t="s">
        <v>27</v>
      </c>
      <c r="M232" s="336" t="s">
        <v>28</v>
      </c>
      <c r="N232" s="336" t="s">
        <v>11</v>
      </c>
      <c r="O232" s="46"/>
      <c r="P232" s="46"/>
      <c r="Q232" s="46"/>
      <c r="R232" s="46"/>
      <c r="S232" s="46"/>
      <c r="T232" s="46"/>
      <c r="U232" s="46"/>
    </row>
    <row r="233" spans="1:21">
      <c r="A233" s="46" t="s">
        <v>1186</v>
      </c>
      <c r="B233" s="488">
        <f>B234</f>
        <v>1.2E-2</v>
      </c>
      <c r="C233" s="46" t="s">
        <v>113</v>
      </c>
      <c r="D233" s="400" t="s">
        <v>2</v>
      </c>
      <c r="E233" s="46" t="s">
        <v>29</v>
      </c>
      <c r="F233" s="32" t="s">
        <v>14</v>
      </c>
      <c r="G233" s="46" t="s">
        <v>30</v>
      </c>
      <c r="H233" s="46">
        <v>1</v>
      </c>
      <c r="I233" s="407">
        <f>B233</f>
        <v>1.2E-2</v>
      </c>
      <c r="J233" s="46" t="s">
        <v>31</v>
      </c>
      <c r="K233" s="46" t="s">
        <v>31</v>
      </c>
      <c r="L233" s="46" t="s">
        <v>31</v>
      </c>
      <c r="M233" s="46" t="s">
        <v>31</v>
      </c>
      <c r="N233" s="46"/>
      <c r="O233" s="463" t="s">
        <v>817</v>
      </c>
      <c r="P233" s="464"/>
      <c r="Q233" s="46"/>
      <c r="R233" s="46"/>
      <c r="S233" s="46"/>
      <c r="T233" s="46"/>
      <c r="U233" s="46"/>
    </row>
    <row r="234" spans="1:21">
      <c r="A234" s="46" t="s">
        <v>1196</v>
      </c>
      <c r="B234" s="407">
        <f>B254</f>
        <v>1.2E-2</v>
      </c>
      <c r="C234" s="46" t="s">
        <v>113</v>
      </c>
      <c r="D234" s="400" t="s">
        <v>2</v>
      </c>
      <c r="E234" s="46" t="s">
        <v>29</v>
      </c>
      <c r="F234" s="32" t="s">
        <v>14</v>
      </c>
      <c r="G234" s="46" t="s">
        <v>33</v>
      </c>
      <c r="H234" s="46">
        <v>1</v>
      </c>
      <c r="I234" s="407">
        <f>B234</f>
        <v>1.2E-2</v>
      </c>
      <c r="J234" s="46" t="s">
        <v>31</v>
      </c>
      <c r="K234" s="46" t="s">
        <v>31</v>
      </c>
      <c r="L234" s="46" t="s">
        <v>31</v>
      </c>
      <c r="M234" s="46" t="s">
        <v>31</v>
      </c>
      <c r="N234" s="46"/>
      <c r="O234" s="463" t="s">
        <v>817</v>
      </c>
      <c r="P234" s="464"/>
      <c r="Q234" s="46"/>
      <c r="R234" s="46"/>
      <c r="S234" s="46"/>
      <c r="T234" s="46"/>
      <c r="U234" s="46"/>
    </row>
    <row r="235" spans="1:21">
      <c r="A235" s="46" t="s">
        <v>1197</v>
      </c>
      <c r="B235" s="407">
        <f>B242</f>
        <v>2.0700000000000002E-3</v>
      </c>
      <c r="C235" s="46" t="s">
        <v>113</v>
      </c>
      <c r="D235" s="400" t="s">
        <v>2</v>
      </c>
      <c r="E235" s="46" t="s">
        <v>29</v>
      </c>
      <c r="F235" s="32" t="s">
        <v>14</v>
      </c>
      <c r="G235" s="46" t="s">
        <v>33</v>
      </c>
      <c r="H235" s="46">
        <v>1</v>
      </c>
      <c r="I235" s="407">
        <f>B235</f>
        <v>2.0700000000000002E-3</v>
      </c>
      <c r="J235" s="46" t="s">
        <v>31</v>
      </c>
      <c r="K235" s="46" t="s">
        <v>31</v>
      </c>
      <c r="L235" s="46" t="s">
        <v>31</v>
      </c>
      <c r="M235" s="46" t="s">
        <v>31</v>
      </c>
      <c r="N235" s="46"/>
      <c r="O235" s="392" t="s">
        <v>817</v>
      </c>
      <c r="P235" s="461"/>
      <c r="Q235" s="46"/>
      <c r="R235" s="46"/>
      <c r="S235" s="46"/>
      <c r="T235" s="46"/>
      <c r="U235" s="46"/>
    </row>
    <row r="236" spans="1:21">
      <c r="A236" s="338" t="s">
        <v>75</v>
      </c>
      <c r="B236" s="407">
        <f>P236</f>
        <v>0.28999999999999998</v>
      </c>
      <c r="C236" s="46" t="s">
        <v>39</v>
      </c>
      <c r="D236" s="46" t="s">
        <v>40</v>
      </c>
      <c r="E236" s="46" t="s">
        <v>29</v>
      </c>
      <c r="F236" s="32" t="s">
        <v>35</v>
      </c>
      <c r="G236" s="46" t="s">
        <v>33</v>
      </c>
      <c r="H236" s="46">
        <v>2</v>
      </c>
      <c r="I236" s="46">
        <f t="shared" ref="I236" si="19">LN(B236)</f>
        <v>-1.2378743560016174</v>
      </c>
      <c r="J236" s="46">
        <v>0.20928449536456342</v>
      </c>
      <c r="K236" s="46" t="s">
        <v>31</v>
      </c>
      <c r="L236" s="46" t="s">
        <v>31</v>
      </c>
      <c r="M236" s="46" t="s">
        <v>31</v>
      </c>
      <c r="N236" s="46"/>
      <c r="O236" s="393" t="s">
        <v>216</v>
      </c>
      <c r="P236" s="406">
        <v>0.28999999999999998</v>
      </c>
      <c r="Q236" s="46"/>
      <c r="R236" s="46"/>
      <c r="S236" s="46"/>
      <c r="T236" s="46"/>
      <c r="U236" s="46"/>
    </row>
    <row r="237" spans="1:21" s="41" customFormat="1">
      <c r="A237" s="362" t="s">
        <v>5</v>
      </c>
      <c r="B237" s="438" t="s">
        <v>1197</v>
      </c>
      <c r="C237" s="364"/>
      <c r="D237" s="345"/>
      <c r="E237" s="345"/>
      <c r="F237" s="345"/>
      <c r="G237" s="345"/>
      <c r="H237" s="345"/>
      <c r="I237" s="345"/>
      <c r="J237" s="345"/>
      <c r="K237" s="345"/>
      <c r="L237" s="345"/>
      <c r="M237" s="345"/>
      <c r="N237" s="345"/>
      <c r="O237" s="345"/>
      <c r="P237" s="345"/>
      <c r="Q237" s="345"/>
      <c r="R237" s="345"/>
      <c r="S237" s="345"/>
      <c r="T237" s="345"/>
      <c r="U237" s="345"/>
    </row>
    <row r="238" spans="1:21">
      <c r="A238" s="338" t="s">
        <v>7</v>
      </c>
      <c r="B238" s="46" t="s">
        <v>779</v>
      </c>
      <c r="C238" s="337"/>
      <c r="D238" s="46"/>
      <c r="E238" s="46"/>
      <c r="F238" s="46"/>
      <c r="G238" s="46"/>
      <c r="H238" s="46"/>
      <c r="I238" s="46"/>
      <c r="J238" s="46"/>
      <c r="K238" s="46"/>
      <c r="L238" s="46"/>
      <c r="M238" s="46"/>
      <c r="N238" s="46"/>
      <c r="O238" s="46"/>
      <c r="P238" s="46"/>
      <c r="Q238" s="46"/>
      <c r="R238" s="46"/>
      <c r="S238" s="46"/>
      <c r="T238" s="46"/>
      <c r="U238" s="46"/>
    </row>
    <row r="239" spans="1:21">
      <c r="A239" s="416" t="s">
        <v>9</v>
      </c>
      <c r="B239" s="46" t="s">
        <v>1198</v>
      </c>
      <c r="C239" s="337"/>
      <c r="D239" s="46"/>
      <c r="E239" s="46"/>
      <c r="F239" s="46"/>
      <c r="G239" s="46"/>
      <c r="H239" s="46"/>
      <c r="I239" s="46"/>
      <c r="J239" s="46"/>
      <c r="K239" s="46"/>
      <c r="L239" s="46"/>
      <c r="M239" s="46"/>
      <c r="N239" s="46"/>
      <c r="O239" s="46"/>
      <c r="P239" s="46"/>
      <c r="Q239" s="46"/>
      <c r="R239" s="46"/>
      <c r="S239" s="46"/>
      <c r="T239" s="46"/>
      <c r="U239" s="46"/>
    </row>
    <row r="240" spans="1:21" ht="15.75" customHeight="1">
      <c r="A240" s="338" t="s">
        <v>11</v>
      </c>
      <c r="B240" s="339" t="s">
        <v>789</v>
      </c>
      <c r="C240" s="46"/>
      <c r="D240" s="46"/>
      <c r="E240" s="46"/>
      <c r="F240" s="46"/>
      <c r="G240" s="46"/>
      <c r="H240" s="46"/>
      <c r="I240" s="46"/>
      <c r="J240" s="46"/>
      <c r="K240" s="46"/>
      <c r="L240" s="46"/>
      <c r="M240" s="46"/>
      <c r="N240" s="46"/>
      <c r="O240" s="46"/>
      <c r="P240" s="46"/>
      <c r="Q240" s="46"/>
      <c r="R240" s="46"/>
      <c r="S240" s="46"/>
      <c r="T240" s="46"/>
      <c r="U240" s="46"/>
    </row>
    <row r="241" spans="1:21">
      <c r="A241" s="338" t="s">
        <v>13</v>
      </c>
      <c r="B241" s="46" t="s">
        <v>14</v>
      </c>
      <c r="C241" s="46"/>
      <c r="D241" s="46"/>
      <c r="E241" s="46"/>
      <c r="F241" s="46"/>
      <c r="G241" s="46"/>
      <c r="H241" s="46"/>
      <c r="I241" s="46"/>
      <c r="J241" s="46"/>
      <c r="K241" s="46"/>
      <c r="L241" s="46"/>
      <c r="M241" s="46"/>
      <c r="N241" s="46"/>
      <c r="O241" s="46"/>
      <c r="P241" s="46"/>
      <c r="Q241" s="46"/>
      <c r="R241" s="46"/>
      <c r="S241" s="46"/>
      <c r="T241" s="46"/>
      <c r="U241" s="46"/>
    </row>
    <row r="242" spans="1:21">
      <c r="A242" s="338" t="s">
        <v>15</v>
      </c>
      <c r="B242" s="407">
        <f>B247</f>
        <v>2.0700000000000002E-3</v>
      </c>
      <c r="C242" s="46"/>
      <c r="D242" s="46"/>
      <c r="E242" s="46"/>
      <c r="F242" s="46"/>
      <c r="G242" s="46"/>
      <c r="H242" s="46"/>
      <c r="I242" s="46"/>
      <c r="J242" s="46"/>
      <c r="K242" s="46"/>
      <c r="L242" s="46"/>
      <c r="M242" s="46"/>
      <c r="N242" s="46"/>
      <c r="O242" s="46"/>
      <c r="P242" s="46"/>
      <c r="Q242" s="46"/>
      <c r="R242" s="46"/>
      <c r="S242" s="46"/>
      <c r="T242" s="46"/>
      <c r="U242" s="46"/>
    </row>
    <row r="243" spans="1:21">
      <c r="A243" s="338" t="s">
        <v>16</v>
      </c>
      <c r="B243" s="46" t="s">
        <v>17</v>
      </c>
      <c r="C243" s="46"/>
      <c r="D243" s="46"/>
      <c r="E243" s="46"/>
      <c r="F243" s="46"/>
      <c r="G243" s="46"/>
      <c r="H243" s="46"/>
      <c r="I243" s="46"/>
      <c r="J243" s="46"/>
      <c r="K243" s="46"/>
      <c r="L243" s="46"/>
      <c r="M243" s="46"/>
      <c r="N243" s="46"/>
      <c r="O243" s="46"/>
      <c r="P243" s="46"/>
      <c r="Q243" s="46"/>
      <c r="R243" s="46"/>
      <c r="S243" s="46"/>
      <c r="T243" s="46"/>
      <c r="U243" s="46"/>
    </row>
    <row r="244" spans="1:21">
      <c r="A244" s="338" t="s">
        <v>18</v>
      </c>
      <c r="B244" s="46" t="s">
        <v>113</v>
      </c>
      <c r="C244" s="46"/>
      <c r="D244" s="46"/>
      <c r="E244" s="46"/>
      <c r="F244" s="46"/>
      <c r="G244" s="46"/>
      <c r="H244" s="46"/>
      <c r="I244" s="46"/>
      <c r="J244" s="46"/>
      <c r="K244" s="46"/>
      <c r="L244" s="46"/>
      <c r="M244" s="46"/>
      <c r="N244" s="46"/>
      <c r="O244" s="46"/>
      <c r="P244" s="46"/>
      <c r="Q244" s="46"/>
      <c r="R244" s="46"/>
      <c r="S244" s="46"/>
      <c r="T244" s="46"/>
      <c r="U244" s="46"/>
    </row>
    <row r="245" spans="1:21">
      <c r="A245" s="335" t="s">
        <v>19</v>
      </c>
      <c r="B245" s="46"/>
      <c r="C245" s="46"/>
      <c r="D245" s="46"/>
      <c r="E245" s="46"/>
      <c r="F245" s="46"/>
      <c r="G245" s="46"/>
      <c r="H245" s="46"/>
      <c r="I245" s="46"/>
      <c r="J245" s="46"/>
      <c r="K245" s="46"/>
      <c r="L245" s="46"/>
      <c r="M245" s="46"/>
      <c r="N245" s="46"/>
      <c r="O245" s="46"/>
      <c r="P245" s="46"/>
      <c r="Q245" s="46"/>
      <c r="R245" s="46"/>
      <c r="S245" s="46"/>
      <c r="T245" s="46"/>
      <c r="U245" s="46"/>
    </row>
    <row r="246" spans="1:21">
      <c r="A246" s="336" t="s">
        <v>20</v>
      </c>
      <c r="B246" s="336" t="s">
        <v>21</v>
      </c>
      <c r="C246" s="336" t="s">
        <v>18</v>
      </c>
      <c r="D246" s="336" t="s">
        <v>22</v>
      </c>
      <c r="E246" s="336" t="s">
        <v>7</v>
      </c>
      <c r="F246" s="336" t="s">
        <v>13</v>
      </c>
      <c r="G246" s="336" t="s">
        <v>16</v>
      </c>
      <c r="H246" s="336" t="s">
        <v>23</v>
      </c>
      <c r="I246" s="336" t="s">
        <v>24</v>
      </c>
      <c r="J246" s="336" t="s">
        <v>25</v>
      </c>
      <c r="K246" s="336" t="s">
        <v>26</v>
      </c>
      <c r="L246" s="336" t="s">
        <v>27</v>
      </c>
      <c r="M246" s="336" t="s">
        <v>28</v>
      </c>
      <c r="N246" s="336" t="s">
        <v>11</v>
      </c>
      <c r="O246" s="46"/>
      <c r="P246" s="46"/>
      <c r="Q246" s="46"/>
      <c r="R246" s="46"/>
      <c r="S246" s="46"/>
      <c r="T246" s="46"/>
      <c r="U246" s="46"/>
    </row>
    <row r="247" spans="1:21">
      <c r="A247" s="46" t="s">
        <v>1197</v>
      </c>
      <c r="B247" s="407">
        <f>S247</f>
        <v>2.0700000000000002E-3</v>
      </c>
      <c r="C247" s="46" t="s">
        <v>113</v>
      </c>
      <c r="D247" s="400" t="s">
        <v>2</v>
      </c>
      <c r="E247" s="46" t="s">
        <v>29</v>
      </c>
      <c r="F247" s="32" t="s">
        <v>14</v>
      </c>
      <c r="G247" s="46" t="s">
        <v>30</v>
      </c>
      <c r="H247" s="46">
        <v>1</v>
      </c>
      <c r="I247" s="407">
        <f>B247</f>
        <v>2.0700000000000002E-3</v>
      </c>
      <c r="J247" s="46" t="s">
        <v>31</v>
      </c>
      <c r="K247" s="46" t="s">
        <v>31</v>
      </c>
      <c r="L247" s="46" t="s">
        <v>31</v>
      </c>
      <c r="M247" s="46" t="s">
        <v>31</v>
      </c>
      <c r="N247" s="46"/>
      <c r="O247" s="46"/>
      <c r="P247" s="393" t="s">
        <v>1120</v>
      </c>
      <c r="Q247" s="406">
        <v>20.7</v>
      </c>
      <c r="R247" s="46" t="s">
        <v>605</v>
      </c>
      <c r="S247" s="46">
        <f>Q247*0.0001</f>
        <v>2.0700000000000002E-3</v>
      </c>
      <c r="T247" s="46"/>
      <c r="U247" s="46"/>
    </row>
    <row r="248" spans="1:21">
      <c r="A248" s="47" t="s">
        <v>942</v>
      </c>
      <c r="B248" s="407">
        <f>S248</f>
        <v>2.0700000000000002E-3</v>
      </c>
      <c r="C248" s="46" t="s">
        <v>113</v>
      </c>
      <c r="D248" s="46" t="s">
        <v>40</v>
      </c>
      <c r="E248" s="46" t="s">
        <v>29</v>
      </c>
      <c r="F248" s="46" t="s">
        <v>58</v>
      </c>
      <c r="G248" s="46" t="s">
        <v>33</v>
      </c>
      <c r="H248" s="46">
        <v>2</v>
      </c>
      <c r="I248" s="46">
        <f>LN(B248)</f>
        <v>-6.1802066717048589</v>
      </c>
      <c r="J248" s="46">
        <v>3.7749172176353707E-2</v>
      </c>
      <c r="K248" s="46" t="s">
        <v>31</v>
      </c>
      <c r="L248" s="46" t="s">
        <v>31</v>
      </c>
      <c r="M248" s="46" t="s">
        <v>31</v>
      </c>
      <c r="N248" s="46"/>
      <c r="O248" s="46"/>
      <c r="P248" s="392" t="s">
        <v>1120</v>
      </c>
      <c r="Q248" s="447">
        <v>20.7</v>
      </c>
      <c r="R248" s="46" t="s">
        <v>605</v>
      </c>
      <c r="S248" s="46">
        <f>Q248*0.0001</f>
        <v>2.0700000000000002E-3</v>
      </c>
      <c r="T248" s="46"/>
      <c r="U248" s="46"/>
    </row>
    <row r="249" spans="1:21" s="41" customFormat="1">
      <c r="A249" s="362" t="s">
        <v>5</v>
      </c>
      <c r="B249" s="363" t="s">
        <v>1196</v>
      </c>
      <c r="C249" s="345"/>
      <c r="D249" s="345"/>
      <c r="E249" s="345"/>
      <c r="F249" s="345"/>
      <c r="G249" s="345"/>
      <c r="H249" s="345"/>
      <c r="I249" s="345"/>
      <c r="J249" s="345"/>
      <c r="K249" s="345"/>
      <c r="L249" s="345"/>
      <c r="M249" s="345"/>
      <c r="N249" s="345"/>
      <c r="O249" s="345"/>
      <c r="P249" s="345"/>
      <c r="Q249" s="345"/>
      <c r="R249" s="345"/>
      <c r="S249" s="345"/>
      <c r="T249" s="345"/>
      <c r="U249" s="345"/>
    </row>
    <row r="250" spans="1:21">
      <c r="A250" s="338" t="s">
        <v>7</v>
      </c>
      <c r="B250" s="46" t="s">
        <v>779</v>
      </c>
      <c r="C250" s="337"/>
      <c r="D250" s="46"/>
      <c r="E250" s="46"/>
      <c r="F250" s="46"/>
      <c r="G250" s="46"/>
      <c r="H250" s="46"/>
      <c r="I250" s="46"/>
      <c r="J250" s="46"/>
      <c r="K250" s="46"/>
      <c r="L250" s="46"/>
      <c r="M250" s="46"/>
      <c r="N250" s="46"/>
      <c r="O250" s="46"/>
      <c r="P250" s="46"/>
      <c r="Q250" s="46"/>
      <c r="R250" s="46"/>
      <c r="S250" s="46"/>
      <c r="T250" s="46"/>
      <c r="U250" s="46"/>
    </row>
    <row r="251" spans="1:21">
      <c r="A251" s="416" t="s">
        <v>9</v>
      </c>
      <c r="B251" s="46" t="s">
        <v>1199</v>
      </c>
      <c r="C251" s="337"/>
      <c r="D251" s="46"/>
      <c r="E251" s="46"/>
      <c r="F251" s="46"/>
      <c r="G251" s="46"/>
      <c r="H251" s="46"/>
      <c r="I251" s="46"/>
      <c r="J251" s="46"/>
      <c r="K251" s="46"/>
      <c r="L251" s="46"/>
      <c r="M251" s="46"/>
      <c r="N251" s="46"/>
      <c r="O251" s="46"/>
      <c r="P251" s="46"/>
      <c r="Q251" s="46"/>
      <c r="R251" s="46"/>
      <c r="S251" s="46"/>
      <c r="T251" s="46"/>
      <c r="U251" s="46"/>
    </row>
    <row r="252" spans="1:21" ht="15.75" customHeight="1">
      <c r="A252" s="338" t="s">
        <v>11</v>
      </c>
      <c r="B252" s="339" t="s">
        <v>789</v>
      </c>
      <c r="C252" s="46"/>
      <c r="D252" s="46"/>
      <c r="E252" s="46"/>
      <c r="F252" s="46"/>
      <c r="G252" s="46"/>
      <c r="H252" s="46"/>
      <c r="I252" s="46"/>
      <c r="J252" s="46"/>
      <c r="K252" s="46"/>
      <c r="L252" s="46"/>
      <c r="M252" s="46"/>
      <c r="N252" s="46"/>
      <c r="O252" s="46"/>
      <c r="P252" s="46"/>
      <c r="Q252" s="46"/>
      <c r="R252" s="46"/>
      <c r="S252" s="46"/>
      <c r="T252" s="46"/>
      <c r="U252" s="46"/>
    </row>
    <row r="253" spans="1:21">
      <c r="A253" s="338" t="s">
        <v>13</v>
      </c>
      <c r="B253" s="46" t="s">
        <v>14</v>
      </c>
      <c r="C253" s="46"/>
      <c r="D253" s="46"/>
      <c r="E253" s="46"/>
      <c r="F253" s="46"/>
      <c r="G253" s="46"/>
      <c r="H253" s="46"/>
      <c r="I253" s="46"/>
      <c r="J253" s="46"/>
      <c r="K253" s="46"/>
      <c r="L253" s="46"/>
      <c r="M253" s="46"/>
      <c r="N253" s="46"/>
      <c r="O253" s="46"/>
      <c r="P253" s="46"/>
      <c r="Q253" s="46"/>
      <c r="R253" s="46"/>
      <c r="S253" s="46"/>
      <c r="T253" s="46"/>
      <c r="U253" s="46"/>
    </row>
    <row r="254" spans="1:21">
      <c r="A254" s="338" t="s">
        <v>15</v>
      </c>
      <c r="B254" s="407">
        <f>B259</f>
        <v>1.2E-2</v>
      </c>
      <c r="C254" s="46"/>
      <c r="D254" s="46"/>
      <c r="E254" s="46"/>
      <c r="F254" s="46"/>
      <c r="G254" s="46"/>
      <c r="H254" s="46"/>
      <c r="I254" s="46"/>
      <c r="J254" s="46"/>
      <c r="K254" s="46"/>
      <c r="L254" s="46"/>
      <c r="M254" s="46"/>
      <c r="N254" s="46"/>
      <c r="O254" s="46"/>
      <c r="P254" s="46"/>
      <c r="Q254" s="46"/>
      <c r="R254" s="46"/>
      <c r="S254" s="46"/>
      <c r="T254" s="46"/>
      <c r="U254" s="46"/>
    </row>
    <row r="255" spans="1:21">
      <c r="A255" s="338" t="s">
        <v>16</v>
      </c>
      <c r="B255" s="46" t="s">
        <v>17</v>
      </c>
      <c r="C255" s="46"/>
      <c r="D255" s="46"/>
      <c r="E255" s="46"/>
      <c r="F255" s="46"/>
      <c r="G255" s="46"/>
      <c r="H255" s="46"/>
      <c r="I255" s="46"/>
      <c r="J255" s="46"/>
      <c r="K255" s="46"/>
      <c r="L255" s="46"/>
      <c r="M255" s="46"/>
      <c r="N255" s="46"/>
      <c r="O255" s="46"/>
      <c r="P255" s="46"/>
      <c r="Q255" s="46"/>
      <c r="R255" s="46"/>
      <c r="S255" s="46"/>
      <c r="T255" s="46"/>
      <c r="U255" s="46"/>
    </row>
    <row r="256" spans="1:21">
      <c r="A256" s="338" t="s">
        <v>18</v>
      </c>
      <c r="B256" s="46" t="s">
        <v>113</v>
      </c>
      <c r="C256" s="46"/>
      <c r="D256" s="46"/>
      <c r="E256" s="46"/>
      <c r="F256" s="46"/>
      <c r="G256" s="46"/>
      <c r="H256" s="46"/>
      <c r="I256" s="46"/>
      <c r="J256" s="46"/>
      <c r="K256" s="46"/>
      <c r="L256" s="46"/>
      <c r="M256" s="46"/>
      <c r="N256" s="46"/>
      <c r="O256" s="46"/>
      <c r="P256" s="46"/>
      <c r="Q256" s="46"/>
      <c r="R256" s="46"/>
      <c r="S256" s="46"/>
      <c r="T256" s="46"/>
      <c r="U256" s="46"/>
    </row>
    <row r="257" spans="1:21">
      <c r="A257" s="335" t="s">
        <v>19</v>
      </c>
      <c r="B257" s="46"/>
      <c r="C257" s="46"/>
      <c r="D257" s="46"/>
      <c r="E257" s="46"/>
      <c r="F257" s="46"/>
      <c r="G257" s="46"/>
      <c r="H257" s="46"/>
      <c r="I257" s="46"/>
      <c r="J257" s="46"/>
      <c r="K257" s="46"/>
      <c r="L257" s="46"/>
      <c r="M257" s="46"/>
      <c r="N257" s="46"/>
      <c r="O257" s="46"/>
      <c r="P257" s="46"/>
      <c r="Q257" s="46"/>
      <c r="R257" s="46"/>
      <c r="S257" s="46"/>
      <c r="T257" s="46"/>
      <c r="U257" s="46"/>
    </row>
    <row r="258" spans="1:21">
      <c r="A258" s="336" t="s">
        <v>20</v>
      </c>
      <c r="B258" s="336" t="s">
        <v>21</v>
      </c>
      <c r="C258" s="336" t="s">
        <v>18</v>
      </c>
      <c r="D258" s="336" t="s">
        <v>22</v>
      </c>
      <c r="E258" s="336" t="s">
        <v>7</v>
      </c>
      <c r="F258" s="336" t="s">
        <v>13</v>
      </c>
      <c r="G258" s="336" t="s">
        <v>16</v>
      </c>
      <c r="H258" s="336" t="s">
        <v>23</v>
      </c>
      <c r="I258" s="336" t="s">
        <v>24</v>
      </c>
      <c r="J258" s="336" t="s">
        <v>25</v>
      </c>
      <c r="K258" s="336" t="s">
        <v>26</v>
      </c>
      <c r="L258" s="336" t="s">
        <v>27</v>
      </c>
      <c r="M258" s="336" t="s">
        <v>28</v>
      </c>
      <c r="N258" s="336" t="s">
        <v>11</v>
      </c>
      <c r="O258" s="46"/>
      <c r="P258" s="46"/>
      <c r="Q258" s="46"/>
      <c r="R258" s="46"/>
      <c r="S258" s="46"/>
      <c r="T258" s="46"/>
      <c r="U258" s="46"/>
    </row>
    <row r="259" spans="1:21">
      <c r="A259" s="46" t="s">
        <v>1196</v>
      </c>
      <c r="B259" s="407">
        <f>B260</f>
        <v>1.2E-2</v>
      </c>
      <c r="C259" s="46" t="s">
        <v>113</v>
      </c>
      <c r="D259" s="400" t="s">
        <v>2</v>
      </c>
      <c r="E259" s="46" t="s">
        <v>29</v>
      </c>
      <c r="F259" s="32" t="s">
        <v>14</v>
      </c>
      <c r="G259" s="46" t="s">
        <v>30</v>
      </c>
      <c r="H259" s="46">
        <v>1</v>
      </c>
      <c r="I259" s="407">
        <f>B259</f>
        <v>1.2E-2</v>
      </c>
      <c r="J259" s="46" t="s">
        <v>31</v>
      </c>
      <c r="K259" s="46" t="s">
        <v>31</v>
      </c>
      <c r="L259" s="46" t="s">
        <v>31</v>
      </c>
      <c r="M259" s="46" t="s">
        <v>31</v>
      </c>
      <c r="N259" s="46"/>
      <c r="O259" s="46"/>
      <c r="P259" s="46"/>
      <c r="Q259" s="46"/>
      <c r="R259" s="46"/>
      <c r="S259" s="46"/>
      <c r="T259" s="46"/>
      <c r="U259" s="46"/>
    </row>
    <row r="260" spans="1:21">
      <c r="A260" s="46" t="s">
        <v>1200</v>
      </c>
      <c r="B260" s="407">
        <f>P260</f>
        <v>1.2E-2</v>
      </c>
      <c r="C260" s="46" t="s">
        <v>113</v>
      </c>
      <c r="D260" s="400" t="s">
        <v>2</v>
      </c>
      <c r="E260" s="46" t="s">
        <v>29</v>
      </c>
      <c r="F260" s="46" t="s">
        <v>14</v>
      </c>
      <c r="G260" s="46" t="s">
        <v>33</v>
      </c>
      <c r="H260" s="46">
        <v>1</v>
      </c>
      <c r="I260" s="407">
        <f>B260</f>
        <v>1.2E-2</v>
      </c>
      <c r="J260" s="46" t="s">
        <v>31</v>
      </c>
      <c r="K260" s="46" t="s">
        <v>31</v>
      </c>
      <c r="L260" s="46" t="s">
        <v>31</v>
      </c>
      <c r="M260" s="46" t="s">
        <v>31</v>
      </c>
      <c r="N260" s="46"/>
      <c r="O260" s="46"/>
      <c r="P260" s="462">
        <v>1.2E-2</v>
      </c>
      <c r="Q260" s="46"/>
      <c r="R260" s="46"/>
      <c r="S260" s="46"/>
      <c r="T260" s="46"/>
      <c r="U260" s="46"/>
    </row>
    <row r="261" spans="1:21">
      <c r="A261" s="338" t="s">
        <v>75</v>
      </c>
      <c r="B261" s="342">
        <f>R261</f>
        <v>0.11</v>
      </c>
      <c r="C261" s="46" t="s">
        <v>39</v>
      </c>
      <c r="D261" s="46" t="s">
        <v>40</v>
      </c>
      <c r="E261" s="46" t="s">
        <v>29</v>
      </c>
      <c r="F261" s="32" t="s">
        <v>35</v>
      </c>
      <c r="G261" s="46" t="s">
        <v>33</v>
      </c>
      <c r="H261" s="46">
        <v>2</v>
      </c>
      <c r="I261" s="46">
        <f t="shared" ref="I261:I265" si="20">LN(B261)</f>
        <v>-2.2072749131897207</v>
      </c>
      <c r="J261" s="46">
        <v>0.20928449536456342</v>
      </c>
      <c r="K261" s="46" t="s">
        <v>31</v>
      </c>
      <c r="L261" s="46" t="s">
        <v>31</v>
      </c>
      <c r="M261" s="46" t="s">
        <v>31</v>
      </c>
      <c r="N261" s="46"/>
      <c r="O261" s="375" t="s">
        <v>216</v>
      </c>
      <c r="P261" s="120">
        <v>0.11</v>
      </c>
      <c r="Q261" s="46" t="s">
        <v>216</v>
      </c>
      <c r="R261" s="342">
        <f>P261</f>
        <v>0.11</v>
      </c>
      <c r="S261" s="46"/>
      <c r="T261" s="46"/>
      <c r="U261" s="46"/>
    </row>
    <row r="262" spans="1:21">
      <c r="A262" s="47" t="s">
        <v>791</v>
      </c>
      <c r="B262" s="46">
        <f>R262</f>
        <v>3.3E-3</v>
      </c>
      <c r="C262" s="46" t="s">
        <v>37</v>
      </c>
      <c r="D262" s="46" t="s">
        <v>40</v>
      </c>
      <c r="E262" s="46" t="s">
        <v>29</v>
      </c>
      <c r="F262" s="32" t="s">
        <v>35</v>
      </c>
      <c r="G262" s="46" t="s">
        <v>33</v>
      </c>
      <c r="H262" s="46">
        <v>2</v>
      </c>
      <c r="I262" s="46">
        <f t="shared" si="20"/>
        <v>-5.7138328105097029</v>
      </c>
      <c r="J262" s="46">
        <v>0.20928449536456342</v>
      </c>
      <c r="K262" s="46" t="s">
        <v>31</v>
      </c>
      <c r="L262" s="46" t="s">
        <v>31</v>
      </c>
      <c r="M262" s="46" t="s">
        <v>31</v>
      </c>
      <c r="N262" s="46"/>
      <c r="O262" s="393" t="s">
        <v>575</v>
      </c>
      <c r="P262" s="120">
        <v>3.3</v>
      </c>
      <c r="Q262" s="46" t="s">
        <v>221</v>
      </c>
      <c r="R262" s="46">
        <f>0.001*P262</f>
        <v>3.3E-3</v>
      </c>
      <c r="S262" s="46"/>
      <c r="T262" s="46"/>
      <c r="U262" s="46"/>
    </row>
    <row r="263" spans="1:21">
      <c r="A263" s="47" t="s">
        <v>546</v>
      </c>
      <c r="B263" s="46">
        <f>R263</f>
        <v>5.0000000000000001E-4</v>
      </c>
      <c r="C263" s="46" t="s">
        <v>37</v>
      </c>
      <c r="D263" s="46" t="s">
        <v>40</v>
      </c>
      <c r="E263" s="46" t="s">
        <v>29</v>
      </c>
      <c r="F263" s="32" t="s">
        <v>58</v>
      </c>
      <c r="G263" s="46" t="s">
        <v>33</v>
      </c>
      <c r="H263" s="46">
        <v>2</v>
      </c>
      <c r="I263" s="46">
        <f t="shared" si="20"/>
        <v>-7.6009024595420822</v>
      </c>
      <c r="J263" s="46">
        <v>0.20928449536456342</v>
      </c>
      <c r="K263" s="46" t="s">
        <v>31</v>
      </c>
      <c r="L263" s="46" t="s">
        <v>31</v>
      </c>
      <c r="M263" s="46" t="s">
        <v>31</v>
      </c>
      <c r="N263" s="46"/>
      <c r="O263" s="393" t="s">
        <v>575</v>
      </c>
      <c r="P263" s="120">
        <v>0.5</v>
      </c>
      <c r="Q263" s="46" t="s">
        <v>221</v>
      </c>
      <c r="R263" s="46">
        <f>0.001*P263</f>
        <v>5.0000000000000001E-4</v>
      </c>
      <c r="S263" s="46"/>
      <c r="T263" s="46"/>
      <c r="U263" s="46"/>
    </row>
    <row r="264" spans="1:21">
      <c r="A264" s="338" t="s">
        <v>792</v>
      </c>
      <c r="B264" s="46">
        <f>R264</f>
        <v>1.6300000000000002E-2</v>
      </c>
      <c r="C264" s="46" t="s">
        <v>37</v>
      </c>
      <c r="D264" s="46" t="s">
        <v>40</v>
      </c>
      <c r="E264" s="46" t="s">
        <v>29</v>
      </c>
      <c r="F264" s="32" t="s">
        <v>741</v>
      </c>
      <c r="G264" s="46" t="s">
        <v>33</v>
      </c>
      <c r="H264" s="46">
        <v>2</v>
      </c>
      <c r="I264" s="46">
        <f t="shared" si="20"/>
        <v>-4.1165901711694204</v>
      </c>
      <c r="J264" s="46">
        <v>0.20928449536456342</v>
      </c>
      <c r="K264" s="46" t="s">
        <v>31</v>
      </c>
      <c r="L264" s="46" t="s">
        <v>31</v>
      </c>
      <c r="M264" s="46" t="s">
        <v>31</v>
      </c>
      <c r="N264" s="46"/>
      <c r="O264" s="393" t="s">
        <v>575</v>
      </c>
      <c r="P264" s="120">
        <v>16.3</v>
      </c>
      <c r="Q264" s="46" t="s">
        <v>221</v>
      </c>
      <c r="R264" s="46">
        <f>0.001*P264</f>
        <v>1.6300000000000002E-2</v>
      </c>
      <c r="S264" s="46"/>
      <c r="T264" s="46"/>
      <c r="U264" s="46"/>
    </row>
    <row r="265" spans="1:21">
      <c r="A265" s="46" t="s">
        <v>777</v>
      </c>
      <c r="B265" s="46">
        <f>R265</f>
        <v>3.8E-3</v>
      </c>
      <c r="C265" s="46" t="s">
        <v>37</v>
      </c>
      <c r="D265" s="400" t="s">
        <v>2</v>
      </c>
      <c r="E265" s="46" t="s">
        <v>29</v>
      </c>
      <c r="F265" s="32" t="s">
        <v>741</v>
      </c>
      <c r="G265" s="46" t="s">
        <v>33</v>
      </c>
      <c r="H265" s="46">
        <v>2</v>
      </c>
      <c r="I265" s="46">
        <f t="shared" si="20"/>
        <v>-5.5727542122497971</v>
      </c>
      <c r="J265" s="46">
        <v>0.20928449536456342</v>
      </c>
      <c r="K265" s="46" t="s">
        <v>31</v>
      </c>
      <c r="L265" s="46" t="s">
        <v>31</v>
      </c>
      <c r="M265" s="46" t="s">
        <v>31</v>
      </c>
      <c r="N265" s="46"/>
      <c r="O265" s="439" t="s">
        <v>575</v>
      </c>
      <c r="P265" s="155">
        <v>3.8</v>
      </c>
      <c r="Q265" s="46" t="s">
        <v>221</v>
      </c>
      <c r="R265" s="46">
        <f>0.001*P265</f>
        <v>3.8E-3</v>
      </c>
      <c r="S265" s="46"/>
      <c r="T265" s="46"/>
      <c r="U265" s="46"/>
    </row>
    <row r="266" spans="1:21" s="41" customFormat="1">
      <c r="A266" s="362" t="s">
        <v>5</v>
      </c>
      <c r="B266" s="363" t="s">
        <v>1200</v>
      </c>
      <c r="C266" s="345"/>
      <c r="D266" s="345"/>
      <c r="E266" s="345"/>
      <c r="F266" s="345"/>
      <c r="G266" s="345"/>
      <c r="H266" s="345"/>
      <c r="I266" s="345"/>
      <c r="J266" s="345"/>
      <c r="K266" s="345"/>
      <c r="L266" s="345"/>
      <c r="M266" s="345"/>
      <c r="N266" s="345"/>
      <c r="O266" s="345"/>
      <c r="P266" s="345"/>
      <c r="Q266" s="345"/>
      <c r="R266" s="345"/>
      <c r="S266" s="345"/>
      <c r="T266" s="345"/>
      <c r="U266" s="345"/>
    </row>
    <row r="267" spans="1:21">
      <c r="A267" s="338" t="s">
        <v>7</v>
      </c>
      <c r="B267" s="46" t="s">
        <v>779</v>
      </c>
      <c r="C267" s="337"/>
      <c r="D267" s="46"/>
      <c r="E267" s="46"/>
      <c r="F267" s="46"/>
      <c r="G267" s="46"/>
      <c r="H267" s="46"/>
      <c r="I267" s="46"/>
      <c r="J267" s="46"/>
      <c r="K267" s="46"/>
      <c r="L267" s="46"/>
      <c r="M267" s="46"/>
      <c r="N267" s="46"/>
      <c r="O267" s="46"/>
      <c r="P267" s="46"/>
      <c r="Q267" s="46"/>
      <c r="R267" s="46"/>
      <c r="S267" s="46"/>
      <c r="T267" s="46"/>
      <c r="U267" s="46"/>
    </row>
    <row r="268" spans="1:21">
      <c r="A268" s="416" t="s">
        <v>9</v>
      </c>
      <c r="B268" s="46" t="s">
        <v>1201</v>
      </c>
      <c r="C268" s="337"/>
      <c r="D268" s="46"/>
      <c r="E268" s="46"/>
      <c r="F268" s="46"/>
      <c r="G268" s="46"/>
      <c r="H268" s="46"/>
      <c r="I268" s="46"/>
      <c r="J268" s="46"/>
      <c r="K268" s="46"/>
      <c r="L268" s="46"/>
      <c r="M268" s="46"/>
      <c r="N268" s="46"/>
      <c r="O268" s="46"/>
      <c r="P268" s="46"/>
      <c r="Q268" s="46"/>
      <c r="R268" s="46"/>
      <c r="S268" s="46"/>
      <c r="T268" s="46"/>
      <c r="U268" s="46"/>
    </row>
    <row r="269" spans="1:21" ht="15.75" customHeight="1">
      <c r="A269" s="338" t="s">
        <v>11</v>
      </c>
      <c r="B269" s="339" t="s">
        <v>789</v>
      </c>
      <c r="C269" s="46"/>
      <c r="D269" s="46"/>
      <c r="E269" s="46"/>
      <c r="F269" s="46"/>
      <c r="G269" s="46"/>
      <c r="H269" s="46"/>
      <c r="I269" s="46"/>
      <c r="J269" s="46"/>
      <c r="K269" s="46"/>
      <c r="L269" s="46"/>
      <c r="M269" s="46"/>
      <c r="N269" s="46"/>
      <c r="O269" s="46"/>
      <c r="P269" s="46"/>
      <c r="Q269" s="46"/>
      <c r="R269" s="46"/>
      <c r="S269" s="46"/>
      <c r="T269" s="46"/>
      <c r="U269" s="46"/>
    </row>
    <row r="270" spans="1:21">
      <c r="A270" s="338" t="s">
        <v>13</v>
      </c>
      <c r="B270" s="46" t="s">
        <v>14</v>
      </c>
      <c r="C270" s="46"/>
      <c r="D270" s="46"/>
      <c r="E270" s="46"/>
      <c r="F270" s="46"/>
      <c r="G270" s="46"/>
      <c r="H270" s="46"/>
      <c r="I270" s="46"/>
      <c r="J270" s="46"/>
      <c r="K270" s="46"/>
      <c r="L270" s="46"/>
      <c r="M270" s="46"/>
      <c r="N270" s="46"/>
      <c r="O270" s="46"/>
      <c r="P270" s="46"/>
      <c r="Q270" s="46"/>
      <c r="R270" s="46"/>
      <c r="S270" s="46"/>
      <c r="T270" s="46"/>
      <c r="U270" s="46"/>
    </row>
    <row r="271" spans="1:21">
      <c r="A271" s="338" t="s">
        <v>15</v>
      </c>
      <c r="B271" s="407">
        <f>B276</f>
        <v>1.2E-2</v>
      </c>
      <c r="C271" s="46"/>
      <c r="D271" s="46"/>
      <c r="E271" s="46"/>
      <c r="F271" s="46"/>
      <c r="G271" s="46"/>
      <c r="H271" s="46"/>
      <c r="I271" s="46"/>
      <c r="J271" s="46"/>
      <c r="K271" s="46"/>
      <c r="L271" s="46"/>
      <c r="M271" s="46"/>
      <c r="N271" s="46"/>
      <c r="O271" s="46"/>
      <c r="P271" s="46"/>
      <c r="Q271" s="46"/>
      <c r="R271" s="46"/>
      <c r="S271" s="46"/>
      <c r="T271" s="46"/>
      <c r="U271" s="46"/>
    </row>
    <row r="272" spans="1:21">
      <c r="A272" s="338" t="s">
        <v>16</v>
      </c>
      <c r="B272" s="46" t="s">
        <v>17</v>
      </c>
      <c r="C272" s="46"/>
      <c r="D272" s="46"/>
      <c r="E272" s="46"/>
      <c r="F272" s="46"/>
      <c r="G272" s="46"/>
      <c r="H272" s="46"/>
      <c r="I272" s="46"/>
      <c r="J272" s="46"/>
      <c r="K272" s="46"/>
      <c r="L272" s="46"/>
      <c r="M272" s="46"/>
      <c r="N272" s="46"/>
      <c r="O272" s="46"/>
      <c r="P272" s="46"/>
      <c r="Q272" s="46"/>
      <c r="R272" s="46"/>
      <c r="S272" s="46"/>
      <c r="T272" s="46"/>
      <c r="U272" s="46"/>
    </row>
    <row r="273" spans="1:21">
      <c r="A273" s="338" t="s">
        <v>18</v>
      </c>
      <c r="B273" s="46" t="s">
        <v>113</v>
      </c>
      <c r="C273" s="46"/>
      <c r="D273" s="46"/>
      <c r="E273" s="46"/>
      <c r="F273" s="46"/>
      <c r="G273" s="46"/>
      <c r="H273" s="46"/>
      <c r="I273" s="46"/>
      <c r="J273" s="46"/>
      <c r="K273" s="46"/>
      <c r="L273" s="46"/>
      <c r="M273" s="46"/>
      <c r="N273" s="46"/>
      <c r="O273" s="46"/>
      <c r="P273" s="46"/>
      <c r="Q273" s="46"/>
      <c r="R273" s="46"/>
      <c r="S273" s="46"/>
      <c r="T273" s="46"/>
      <c r="U273" s="46"/>
    </row>
    <row r="274" spans="1:21">
      <c r="A274" s="335" t="s">
        <v>19</v>
      </c>
      <c r="B274" s="46"/>
      <c r="C274" s="46"/>
      <c r="D274" s="46"/>
      <c r="E274" s="46"/>
      <c r="F274" s="46"/>
      <c r="G274" s="46"/>
      <c r="H274" s="46"/>
      <c r="I274" s="46"/>
      <c r="J274" s="46"/>
      <c r="K274" s="46"/>
      <c r="L274" s="46"/>
      <c r="M274" s="46"/>
      <c r="N274" s="46"/>
      <c r="O274" s="46"/>
      <c r="P274" s="46"/>
      <c r="Q274" s="46"/>
      <c r="R274" s="46"/>
      <c r="S274" s="46"/>
      <c r="T274" s="46"/>
      <c r="U274" s="46"/>
    </row>
    <row r="275" spans="1:21">
      <c r="A275" s="336" t="s">
        <v>20</v>
      </c>
      <c r="B275" s="336" t="s">
        <v>21</v>
      </c>
      <c r="C275" s="336" t="s">
        <v>18</v>
      </c>
      <c r="D275" s="336" t="s">
        <v>22</v>
      </c>
      <c r="E275" s="336" t="s">
        <v>7</v>
      </c>
      <c r="F275" s="336" t="s">
        <v>13</v>
      </c>
      <c r="G275" s="336" t="s">
        <v>16</v>
      </c>
      <c r="H275" s="336" t="s">
        <v>23</v>
      </c>
      <c r="I275" s="336" t="s">
        <v>24</v>
      </c>
      <c r="J275" s="336" t="s">
        <v>25</v>
      </c>
      <c r="K275" s="336" t="s">
        <v>26</v>
      </c>
      <c r="L275" s="336" t="s">
        <v>27</v>
      </c>
      <c r="M275" s="336" t="s">
        <v>28</v>
      </c>
      <c r="N275" s="336" t="s">
        <v>11</v>
      </c>
      <c r="O275" s="46"/>
      <c r="P275" s="46"/>
      <c r="Q275" s="46"/>
      <c r="R275" s="46"/>
      <c r="S275" s="46"/>
      <c r="T275" s="46"/>
      <c r="U275" s="46"/>
    </row>
    <row r="276" spans="1:21">
      <c r="A276" s="46" t="s">
        <v>1200</v>
      </c>
      <c r="B276" s="407">
        <f>P277</f>
        <v>1.2E-2</v>
      </c>
      <c r="C276" s="46" t="s">
        <v>113</v>
      </c>
      <c r="D276" s="400" t="s">
        <v>2</v>
      </c>
      <c r="E276" s="46" t="s">
        <v>29</v>
      </c>
      <c r="F276" s="46" t="s">
        <v>14</v>
      </c>
      <c r="G276" s="46" t="s">
        <v>30</v>
      </c>
      <c r="H276" s="46">
        <v>1</v>
      </c>
      <c r="I276" s="407">
        <f>B276</f>
        <v>1.2E-2</v>
      </c>
      <c r="J276" s="46" t="s">
        <v>31</v>
      </c>
      <c r="K276" s="46" t="s">
        <v>31</v>
      </c>
      <c r="L276" s="46" t="s">
        <v>31</v>
      </c>
      <c r="M276" s="46" t="s">
        <v>31</v>
      </c>
      <c r="N276" s="46"/>
      <c r="O276" s="46"/>
      <c r="P276" s="46"/>
      <c r="Q276" s="46"/>
      <c r="R276" s="46"/>
      <c r="S276" s="46"/>
      <c r="T276" s="46"/>
      <c r="U276" s="46"/>
    </row>
    <row r="277" spans="1:21">
      <c r="A277" s="46" t="s">
        <v>1202</v>
      </c>
      <c r="B277" s="407">
        <f>P277</f>
        <v>1.2E-2</v>
      </c>
      <c r="C277" s="46" t="s">
        <v>113</v>
      </c>
      <c r="D277" s="400" t="s">
        <v>2</v>
      </c>
      <c r="E277" s="46" t="s">
        <v>29</v>
      </c>
      <c r="F277" s="46" t="s">
        <v>14</v>
      </c>
      <c r="G277" s="46" t="s">
        <v>33</v>
      </c>
      <c r="H277" s="46">
        <v>1</v>
      </c>
      <c r="I277" s="407">
        <f>B277</f>
        <v>1.2E-2</v>
      </c>
      <c r="J277" s="46" t="s">
        <v>31</v>
      </c>
      <c r="K277" s="46" t="s">
        <v>31</v>
      </c>
      <c r="L277" s="46" t="s">
        <v>31</v>
      </c>
      <c r="M277" s="46" t="s">
        <v>31</v>
      </c>
      <c r="N277" s="46"/>
      <c r="O277" s="46"/>
      <c r="P277" s="462">
        <v>1.2E-2</v>
      </c>
      <c r="Q277" s="46"/>
      <c r="R277" s="46"/>
      <c r="S277" s="46"/>
      <c r="T277" s="46"/>
      <c r="U277" s="46"/>
    </row>
    <row r="278" spans="1:21">
      <c r="A278" s="338" t="s">
        <v>75</v>
      </c>
      <c r="B278" s="342">
        <f>P278</f>
        <v>2.29</v>
      </c>
      <c r="C278" s="46" t="s">
        <v>39</v>
      </c>
      <c r="D278" s="46" t="s">
        <v>40</v>
      </c>
      <c r="E278" s="46" t="s">
        <v>29</v>
      </c>
      <c r="F278" s="32" t="s">
        <v>35</v>
      </c>
      <c r="G278" s="46" t="s">
        <v>33</v>
      </c>
      <c r="H278" s="46">
        <v>2</v>
      </c>
      <c r="I278" s="46">
        <f t="shared" ref="I278:I279" si="21">LN(B278)</f>
        <v>0.82855181756614826</v>
      </c>
      <c r="J278" s="46">
        <v>0.20928449536456342</v>
      </c>
      <c r="K278" s="46" t="s">
        <v>31</v>
      </c>
      <c r="L278" s="46" t="s">
        <v>31</v>
      </c>
      <c r="M278" s="46" t="s">
        <v>31</v>
      </c>
      <c r="N278" s="46"/>
      <c r="O278" s="393" t="s">
        <v>216</v>
      </c>
      <c r="P278" s="406">
        <f>1.58+0.71</f>
        <v>2.29</v>
      </c>
      <c r="Q278" s="46"/>
      <c r="R278" s="46"/>
      <c r="S278" s="46"/>
      <c r="T278" s="46"/>
      <c r="U278" s="46"/>
    </row>
    <row r="279" spans="1:21">
      <c r="A279" s="338" t="s">
        <v>792</v>
      </c>
      <c r="B279" s="342">
        <f>R279</f>
        <v>4.5999999999999999E-3</v>
      </c>
      <c r="C279" s="46" t="s">
        <v>37</v>
      </c>
      <c r="D279" s="46" t="s">
        <v>40</v>
      </c>
      <c r="E279" s="46" t="s">
        <v>29</v>
      </c>
      <c r="F279" s="32" t="s">
        <v>741</v>
      </c>
      <c r="G279" s="46" t="s">
        <v>33</v>
      </c>
      <c r="H279" s="46">
        <v>2</v>
      </c>
      <c r="I279" s="46">
        <f t="shared" si="21"/>
        <v>-5.3816989754870876</v>
      </c>
      <c r="J279" s="46">
        <v>0.20928449536456342</v>
      </c>
      <c r="K279" s="46" t="s">
        <v>31</v>
      </c>
      <c r="L279" s="46" t="s">
        <v>31</v>
      </c>
      <c r="M279" s="46" t="s">
        <v>31</v>
      </c>
      <c r="N279" s="46"/>
      <c r="O279" s="393" t="s">
        <v>575</v>
      </c>
      <c r="P279" s="120">
        <v>4.5999999999999996</v>
      </c>
      <c r="Q279" s="46" t="s">
        <v>221</v>
      </c>
      <c r="R279" s="46">
        <f>P279*0.001</f>
        <v>4.5999999999999999E-3</v>
      </c>
      <c r="S279" s="46"/>
      <c r="T279" s="46"/>
      <c r="U279" s="46"/>
    </row>
    <row r="280" spans="1:21">
      <c r="A280" s="47" t="s">
        <v>530</v>
      </c>
      <c r="B280" s="342">
        <f>R280</f>
        <v>5.5999999999999999E-3</v>
      </c>
      <c r="C280" s="46" t="s">
        <v>37</v>
      </c>
      <c r="D280" s="46" t="s">
        <v>40</v>
      </c>
      <c r="E280" s="46" t="s">
        <v>29</v>
      </c>
      <c r="F280" s="46" t="s">
        <v>35</v>
      </c>
      <c r="G280" s="46" t="s">
        <v>33</v>
      </c>
      <c r="H280" s="46">
        <v>2</v>
      </c>
      <c r="I280" s="46">
        <f>LN(B280)</f>
        <v>-5.1849886812410331</v>
      </c>
      <c r="J280" s="46">
        <v>0.20928449536456342</v>
      </c>
      <c r="K280" s="46" t="s">
        <v>31</v>
      </c>
      <c r="L280" s="46" t="s">
        <v>31</v>
      </c>
      <c r="M280" s="46" t="s">
        <v>31</v>
      </c>
      <c r="N280" s="46"/>
      <c r="O280" s="393" t="s">
        <v>575</v>
      </c>
      <c r="P280" s="120">
        <v>5.6</v>
      </c>
      <c r="Q280" s="46" t="s">
        <v>221</v>
      </c>
      <c r="R280" s="46">
        <f>P280*0.001</f>
        <v>5.5999999999999999E-3</v>
      </c>
      <c r="S280" s="46"/>
      <c r="T280" s="46"/>
      <c r="U280" s="46"/>
    </row>
    <row r="281" spans="1:21">
      <c r="A281" s="46" t="s">
        <v>777</v>
      </c>
      <c r="B281" s="342">
        <f>R281</f>
        <v>5.5999999999999999E-3</v>
      </c>
      <c r="C281" s="46" t="s">
        <v>37</v>
      </c>
      <c r="D281" s="400" t="s">
        <v>2</v>
      </c>
      <c r="E281" s="46" t="s">
        <v>29</v>
      </c>
      <c r="F281" s="32" t="s">
        <v>741</v>
      </c>
      <c r="G281" s="46" t="s">
        <v>33</v>
      </c>
      <c r="H281" s="46">
        <v>2</v>
      </c>
      <c r="I281" s="46">
        <f t="shared" ref="I281" si="22">LN(B281)</f>
        <v>-5.1849886812410331</v>
      </c>
      <c r="J281" s="46">
        <v>0.20928449536456342</v>
      </c>
      <c r="K281" s="46" t="s">
        <v>31</v>
      </c>
      <c r="L281" s="46" t="s">
        <v>31</v>
      </c>
      <c r="M281" s="46" t="s">
        <v>31</v>
      </c>
      <c r="N281" s="46"/>
      <c r="O281" s="439" t="s">
        <v>575</v>
      </c>
      <c r="P281" s="155">
        <v>5.6</v>
      </c>
      <c r="Q281" s="46" t="s">
        <v>221</v>
      </c>
      <c r="R281" s="46">
        <f>0.001*P281</f>
        <v>5.5999999999999999E-3</v>
      </c>
      <c r="S281" s="46"/>
      <c r="T281" s="46"/>
      <c r="U281" s="46"/>
    </row>
    <row r="282" spans="1:21" s="41" customFormat="1">
      <c r="A282" s="362" t="s">
        <v>5</v>
      </c>
      <c r="B282" s="363" t="s">
        <v>1202</v>
      </c>
      <c r="C282" s="345"/>
      <c r="D282" s="345"/>
      <c r="E282" s="345"/>
      <c r="F282" s="345"/>
      <c r="G282" s="345"/>
      <c r="H282" s="345"/>
      <c r="I282" s="345"/>
      <c r="J282" s="345"/>
      <c r="K282" s="345"/>
      <c r="L282" s="345"/>
      <c r="M282" s="345"/>
      <c r="N282" s="345"/>
      <c r="O282" s="345"/>
      <c r="P282" s="429"/>
      <c r="Q282" s="345"/>
      <c r="R282" s="345"/>
      <c r="S282" s="345"/>
      <c r="T282" s="345"/>
      <c r="U282" s="345"/>
    </row>
    <row r="283" spans="1:21">
      <c r="A283" s="338" t="s">
        <v>7</v>
      </c>
      <c r="B283" s="46" t="s">
        <v>779</v>
      </c>
      <c r="C283" s="337"/>
      <c r="D283" s="46"/>
      <c r="E283" s="46"/>
      <c r="F283" s="46"/>
      <c r="G283" s="46"/>
      <c r="H283" s="46"/>
      <c r="I283" s="46"/>
      <c r="J283" s="46"/>
      <c r="K283" s="46"/>
      <c r="L283" s="46"/>
      <c r="M283" s="46"/>
      <c r="N283" s="46"/>
      <c r="O283" s="46"/>
      <c r="P283" s="46"/>
      <c r="Q283" s="46"/>
      <c r="R283" s="46"/>
      <c r="S283" s="46"/>
      <c r="T283" s="46"/>
      <c r="U283" s="46"/>
    </row>
    <row r="284" spans="1:21">
      <c r="A284" s="416" t="s">
        <v>9</v>
      </c>
      <c r="B284" s="46" t="s">
        <v>1203</v>
      </c>
      <c r="C284" s="337"/>
      <c r="D284" s="46"/>
      <c r="E284" s="46"/>
      <c r="F284" s="46"/>
      <c r="G284" s="46"/>
      <c r="H284" s="46"/>
      <c r="I284" s="46"/>
      <c r="J284" s="46"/>
      <c r="K284" s="46"/>
      <c r="L284" s="46"/>
      <c r="M284" s="46"/>
      <c r="N284" s="46"/>
      <c r="O284" s="46"/>
      <c r="P284" s="46"/>
      <c r="Q284" s="46"/>
      <c r="R284" s="46"/>
      <c r="S284" s="46"/>
      <c r="T284" s="46"/>
      <c r="U284" s="46"/>
    </row>
    <row r="285" spans="1:21" ht="15.75" customHeight="1">
      <c r="A285" s="338" t="s">
        <v>11</v>
      </c>
      <c r="B285" s="339" t="s">
        <v>789</v>
      </c>
      <c r="C285" s="46"/>
      <c r="D285" s="46"/>
      <c r="E285" s="46"/>
      <c r="F285" s="46"/>
      <c r="G285" s="46"/>
      <c r="H285" s="46"/>
      <c r="I285" s="46"/>
      <c r="J285" s="46"/>
      <c r="K285" s="46"/>
      <c r="L285" s="46"/>
      <c r="M285" s="46"/>
      <c r="N285" s="46"/>
      <c r="O285" s="46"/>
      <c r="P285" s="46"/>
      <c r="Q285" s="46"/>
      <c r="R285" s="46"/>
      <c r="S285" s="46"/>
      <c r="T285" s="46"/>
      <c r="U285" s="46"/>
    </row>
    <row r="286" spans="1:21">
      <c r="A286" s="338" t="s">
        <v>13</v>
      </c>
      <c r="B286" s="46" t="s">
        <v>14</v>
      </c>
      <c r="C286" s="46"/>
      <c r="D286" s="46"/>
      <c r="E286" s="46"/>
      <c r="F286" s="46"/>
      <c r="G286" s="46"/>
      <c r="H286" s="46"/>
      <c r="I286" s="46"/>
      <c r="J286" s="46"/>
      <c r="K286" s="46"/>
      <c r="L286" s="46"/>
      <c r="M286" s="46"/>
      <c r="N286" s="46"/>
      <c r="O286" s="46"/>
      <c r="P286" s="46"/>
      <c r="Q286" s="46"/>
      <c r="R286" s="46"/>
      <c r="S286" s="46"/>
      <c r="T286" s="46"/>
      <c r="U286" s="46"/>
    </row>
    <row r="287" spans="1:21">
      <c r="A287" s="338" t="s">
        <v>15</v>
      </c>
      <c r="B287" s="407">
        <f>B292</f>
        <v>0.02</v>
      </c>
      <c r="C287" s="46"/>
      <c r="D287" s="46"/>
      <c r="E287" s="46"/>
      <c r="F287" s="46"/>
      <c r="G287" s="46"/>
      <c r="H287" s="46"/>
      <c r="I287" s="46"/>
      <c r="J287" s="46"/>
      <c r="K287" s="46"/>
      <c r="L287" s="46"/>
      <c r="M287" s="46"/>
      <c r="N287" s="46"/>
      <c r="O287" s="46"/>
      <c r="P287" s="46"/>
      <c r="Q287" s="46"/>
      <c r="R287" s="46"/>
      <c r="S287" s="46"/>
      <c r="T287" s="46"/>
      <c r="U287" s="46"/>
    </row>
    <row r="288" spans="1:21">
      <c r="A288" s="338" t="s">
        <v>16</v>
      </c>
      <c r="B288" s="46" t="s">
        <v>17</v>
      </c>
      <c r="C288" s="46"/>
      <c r="D288" s="46"/>
      <c r="E288" s="46"/>
      <c r="F288" s="46"/>
      <c r="G288" s="46"/>
      <c r="H288" s="46"/>
      <c r="I288" s="46"/>
      <c r="J288" s="46"/>
      <c r="K288" s="46"/>
      <c r="L288" s="46"/>
      <c r="M288" s="46"/>
      <c r="N288" s="46"/>
      <c r="O288" s="46"/>
      <c r="P288" s="46"/>
      <c r="Q288" s="46"/>
      <c r="R288" s="336" t="s">
        <v>880</v>
      </c>
      <c r="S288" s="46"/>
      <c r="T288" s="46"/>
      <c r="U288" s="46"/>
    </row>
    <row r="289" spans="1:21">
      <c r="A289" s="338" t="s">
        <v>18</v>
      </c>
      <c r="B289" s="46" t="s">
        <v>113</v>
      </c>
      <c r="C289" s="46"/>
      <c r="D289" s="46"/>
      <c r="E289" s="46"/>
      <c r="F289" s="46"/>
      <c r="G289" s="46"/>
      <c r="H289" s="46"/>
      <c r="I289" s="46"/>
      <c r="J289" s="46"/>
      <c r="K289" s="46"/>
      <c r="L289" s="46"/>
      <c r="M289" s="46"/>
      <c r="N289" s="46"/>
      <c r="O289" s="46"/>
      <c r="P289" s="46"/>
      <c r="Q289" s="46"/>
      <c r="R289" s="46" t="s">
        <v>881</v>
      </c>
      <c r="S289" s="46">
        <v>8900</v>
      </c>
      <c r="T289" s="46" t="s">
        <v>882</v>
      </c>
      <c r="U289" s="46"/>
    </row>
    <row r="290" spans="1:21">
      <c r="A290" s="335" t="s">
        <v>19</v>
      </c>
      <c r="B290" s="46"/>
      <c r="C290" s="46"/>
      <c r="D290" s="46"/>
      <c r="E290" s="46"/>
      <c r="F290" s="46"/>
      <c r="G290" s="46"/>
      <c r="H290" s="46"/>
      <c r="I290" s="46"/>
      <c r="J290" s="46"/>
      <c r="K290" s="46"/>
      <c r="L290" s="46"/>
      <c r="M290" s="46"/>
      <c r="N290" s="46"/>
      <c r="O290" s="46"/>
      <c r="P290" s="46"/>
      <c r="Q290" s="46"/>
      <c r="R290" s="46" t="s">
        <v>883</v>
      </c>
      <c r="S290" s="46">
        <f>5*10^-6</f>
        <v>4.9999999999999996E-6</v>
      </c>
      <c r="T290" s="46" t="s">
        <v>884</v>
      </c>
      <c r="U290" s="46"/>
    </row>
    <row r="291" spans="1:21">
      <c r="A291" s="336" t="s">
        <v>20</v>
      </c>
      <c r="B291" s="336" t="s">
        <v>21</v>
      </c>
      <c r="C291" s="336" t="s">
        <v>18</v>
      </c>
      <c r="D291" s="336" t="s">
        <v>22</v>
      </c>
      <c r="E291" s="336" t="s">
        <v>7</v>
      </c>
      <c r="F291" s="336" t="s">
        <v>13</v>
      </c>
      <c r="G291" s="336" t="s">
        <v>16</v>
      </c>
      <c r="H291" s="336" t="s">
        <v>23</v>
      </c>
      <c r="I291" s="336" t="s">
        <v>24</v>
      </c>
      <c r="J291" s="336" t="s">
        <v>25</v>
      </c>
      <c r="K291" s="336" t="s">
        <v>26</v>
      </c>
      <c r="L291" s="336" t="s">
        <v>27</v>
      </c>
      <c r="M291" s="336" t="s">
        <v>28</v>
      </c>
      <c r="N291" s="336" t="s">
        <v>11</v>
      </c>
      <c r="O291" s="46"/>
      <c r="P291" s="46"/>
      <c r="Q291" s="46"/>
      <c r="R291" s="419" t="s">
        <v>885</v>
      </c>
      <c r="S291" s="420">
        <f>S290*S289</f>
        <v>4.4499999999999998E-2</v>
      </c>
      <c r="T291" s="421" t="s">
        <v>886</v>
      </c>
      <c r="U291" s="46"/>
    </row>
    <row r="292" spans="1:21">
      <c r="A292" s="46" t="s">
        <v>1202</v>
      </c>
      <c r="B292" s="407">
        <v>0.02</v>
      </c>
      <c r="C292" s="46" t="s">
        <v>113</v>
      </c>
      <c r="D292" s="400" t="s">
        <v>2</v>
      </c>
      <c r="E292" s="46" t="s">
        <v>29</v>
      </c>
      <c r="F292" s="46" t="s">
        <v>14</v>
      </c>
      <c r="G292" s="46" t="s">
        <v>30</v>
      </c>
      <c r="H292" s="46">
        <v>1</v>
      </c>
      <c r="I292" s="407">
        <f>B292</f>
        <v>0.02</v>
      </c>
      <c r="J292" s="46" t="s">
        <v>31</v>
      </c>
      <c r="K292" s="46" t="s">
        <v>31</v>
      </c>
      <c r="L292" s="46" t="s">
        <v>31</v>
      </c>
      <c r="M292" s="46" t="s">
        <v>31</v>
      </c>
      <c r="N292" s="46"/>
      <c r="O292" s="393" t="s">
        <v>887</v>
      </c>
      <c r="P292" s="406">
        <f>B292*100</f>
        <v>2</v>
      </c>
      <c r="Q292" s="46"/>
      <c r="R292" s="46"/>
      <c r="S292" s="46"/>
      <c r="T292" s="46"/>
      <c r="U292" s="46"/>
    </row>
    <row r="293" spans="1:21">
      <c r="A293" s="46" t="s">
        <v>1204</v>
      </c>
      <c r="B293" s="407">
        <v>0.02</v>
      </c>
      <c r="C293" s="46" t="s">
        <v>113</v>
      </c>
      <c r="D293" s="400" t="s">
        <v>2</v>
      </c>
      <c r="E293" s="46" t="s">
        <v>29</v>
      </c>
      <c r="F293" s="46" t="s">
        <v>14</v>
      </c>
      <c r="G293" s="46" t="s">
        <v>33</v>
      </c>
      <c r="H293" s="46">
        <v>1</v>
      </c>
      <c r="I293" s="407">
        <f>B293</f>
        <v>0.02</v>
      </c>
      <c r="J293" s="46">
        <v>7.2284161474004766E-2</v>
      </c>
      <c r="K293" s="46" t="s">
        <v>31</v>
      </c>
      <c r="L293" s="46" t="s">
        <v>31</v>
      </c>
      <c r="M293" s="46" t="s">
        <v>31</v>
      </c>
      <c r="N293" s="46"/>
      <c r="O293" s="393" t="s">
        <v>887</v>
      </c>
      <c r="P293" s="406">
        <f>B293*100</f>
        <v>2</v>
      </c>
      <c r="Q293" s="46"/>
      <c r="R293" s="46" t="s">
        <v>548</v>
      </c>
      <c r="S293" s="46"/>
      <c r="T293" s="46"/>
      <c r="U293" s="402"/>
    </row>
    <row r="294" spans="1:21">
      <c r="A294" s="62" t="s">
        <v>1148</v>
      </c>
      <c r="B294" s="412">
        <f>T294</f>
        <v>2.5809999999999996E-2</v>
      </c>
      <c r="C294" s="46" t="s">
        <v>37</v>
      </c>
      <c r="D294" s="400" t="s">
        <v>2</v>
      </c>
      <c r="E294" s="46" t="s">
        <v>29</v>
      </c>
      <c r="F294" s="32" t="s">
        <v>14</v>
      </c>
      <c r="G294" s="46" t="s">
        <v>33</v>
      </c>
      <c r="H294" s="46">
        <v>1</v>
      </c>
      <c r="I294" s="407">
        <f>B294</f>
        <v>2.5809999999999996E-2</v>
      </c>
      <c r="J294" s="46">
        <v>7.2284161474004766E-2</v>
      </c>
      <c r="K294" s="46" t="s">
        <v>31</v>
      </c>
      <c r="L294" s="46" t="s">
        <v>31</v>
      </c>
      <c r="M294" s="46" t="s">
        <v>31</v>
      </c>
      <c r="N294" s="46"/>
      <c r="O294" s="424"/>
      <c r="P294" s="425"/>
      <c r="Q294" s="46"/>
      <c r="R294" s="422">
        <v>0.57999999999999996</v>
      </c>
      <c r="S294" s="423" t="s">
        <v>605</v>
      </c>
      <c r="T294" s="422">
        <f>R294*S291</f>
        <v>2.5809999999999996E-2</v>
      </c>
      <c r="U294" s="423" t="s">
        <v>221</v>
      </c>
    </row>
    <row r="295" spans="1:21">
      <c r="A295" s="338" t="s">
        <v>792</v>
      </c>
      <c r="B295" s="46">
        <f>P295</f>
        <v>4.7</v>
      </c>
      <c r="C295" s="46" t="s">
        <v>37</v>
      </c>
      <c r="D295" s="46" t="s">
        <v>40</v>
      </c>
      <c r="E295" s="46" t="s">
        <v>29</v>
      </c>
      <c r="F295" s="32" t="s">
        <v>741</v>
      </c>
      <c r="G295" s="46" t="s">
        <v>33</v>
      </c>
      <c r="H295" s="46">
        <v>2</v>
      </c>
      <c r="I295" s="46">
        <f t="shared" ref="I295" si="23">LN(B295)</f>
        <v>1.547562508716013</v>
      </c>
      <c r="J295" s="46">
        <v>7.2284161474004766E-2</v>
      </c>
      <c r="K295" s="46" t="s">
        <v>31</v>
      </c>
      <c r="L295" s="46" t="s">
        <v>31</v>
      </c>
      <c r="M295" s="46" t="s">
        <v>31</v>
      </c>
      <c r="N295" s="46"/>
      <c r="O295" s="393" t="s">
        <v>221</v>
      </c>
      <c r="P295" s="120">
        <v>4.7</v>
      </c>
      <c r="Q295" s="46"/>
      <c r="R295" s="46"/>
      <c r="S295" s="46"/>
      <c r="T295" s="46"/>
      <c r="U295" s="46"/>
    </row>
    <row r="296" spans="1:21">
      <c r="A296" s="47" t="s">
        <v>869</v>
      </c>
      <c r="B296" s="342">
        <f>R296</f>
        <v>2.0000000000000001E-4</v>
      </c>
      <c r="C296" s="46" t="s">
        <v>37</v>
      </c>
      <c r="D296" s="46" t="s">
        <v>40</v>
      </c>
      <c r="E296" s="46" t="s">
        <v>29</v>
      </c>
      <c r="F296" s="32" t="s">
        <v>58</v>
      </c>
      <c r="G296" s="46" t="s">
        <v>33</v>
      </c>
      <c r="H296" s="46">
        <v>2</v>
      </c>
      <c r="I296" s="46">
        <f>LN(B296)</f>
        <v>-8.5171931914162382</v>
      </c>
      <c r="J296" s="46">
        <v>7.2284161474004766E-2</v>
      </c>
      <c r="K296" s="46" t="s">
        <v>31</v>
      </c>
      <c r="L296" s="46" t="s">
        <v>31</v>
      </c>
      <c r="M296" s="46" t="s">
        <v>31</v>
      </c>
      <c r="N296" s="46"/>
      <c r="O296" s="408" t="s">
        <v>523</v>
      </c>
      <c r="P296" s="168">
        <v>0.2</v>
      </c>
      <c r="Q296" s="393" t="s">
        <v>221</v>
      </c>
      <c r="R296" s="46">
        <f>P296*0.001</f>
        <v>2.0000000000000001E-4</v>
      </c>
      <c r="S296" s="46"/>
      <c r="T296" s="46"/>
      <c r="U296" s="46"/>
    </row>
    <row r="297" spans="1:21">
      <c r="A297" s="47" t="s">
        <v>226</v>
      </c>
      <c r="B297" s="46">
        <f>R297</f>
        <v>4.7000000000000002E-3</v>
      </c>
      <c r="C297" s="46" t="s">
        <v>42</v>
      </c>
      <c r="D297" s="46" t="s">
        <v>40</v>
      </c>
      <c r="E297" s="46" t="s">
        <v>29</v>
      </c>
      <c r="F297" s="32" t="s">
        <v>741</v>
      </c>
      <c r="G297" s="46" t="s">
        <v>33</v>
      </c>
      <c r="H297" s="46">
        <v>2</v>
      </c>
      <c r="I297" s="46">
        <f t="shared" ref="I297" si="24">LN(B297)</f>
        <v>-5.3601927702661243</v>
      </c>
      <c r="J297" s="46">
        <v>7.2284161474004766E-2</v>
      </c>
      <c r="K297" s="46" t="s">
        <v>31</v>
      </c>
      <c r="L297" s="46" t="s">
        <v>31</v>
      </c>
      <c r="M297" s="46" t="s">
        <v>31</v>
      </c>
      <c r="N297" s="46"/>
      <c r="O297" s="410" t="s">
        <v>858</v>
      </c>
      <c r="P297" s="155">
        <v>4.7</v>
      </c>
      <c r="Q297" s="46" t="s">
        <v>219</v>
      </c>
      <c r="R297" s="46">
        <f>P297*0.001</f>
        <v>4.7000000000000002E-3</v>
      </c>
      <c r="S297" s="46"/>
      <c r="T297" s="46"/>
      <c r="U297" s="46"/>
    </row>
    <row r="298" spans="1:21" s="41" customFormat="1">
      <c r="A298" s="362" t="s">
        <v>5</v>
      </c>
      <c r="B298" s="363" t="s">
        <v>1204</v>
      </c>
      <c r="C298" s="345"/>
      <c r="D298" s="345"/>
      <c r="E298" s="345"/>
      <c r="F298" s="345"/>
      <c r="G298" s="345"/>
      <c r="H298" s="345"/>
      <c r="I298" s="345"/>
      <c r="J298" s="345"/>
      <c r="K298" s="345"/>
      <c r="L298" s="345"/>
      <c r="M298" s="345"/>
      <c r="N298" s="345"/>
      <c r="O298" s="345"/>
      <c r="P298" s="345"/>
      <c r="Q298" s="345"/>
      <c r="R298" s="345"/>
      <c r="S298" s="345"/>
      <c r="T298" s="345"/>
      <c r="U298" s="345"/>
    </row>
    <row r="299" spans="1:21">
      <c r="A299" s="338" t="s">
        <v>7</v>
      </c>
      <c r="B299" s="46" t="s">
        <v>779</v>
      </c>
      <c r="C299" s="337"/>
      <c r="D299" s="46"/>
      <c r="E299" s="46"/>
      <c r="F299" s="46"/>
      <c r="G299" s="46"/>
      <c r="H299" s="46"/>
      <c r="I299" s="46"/>
      <c r="J299" s="46"/>
      <c r="K299" s="46"/>
      <c r="L299" s="46"/>
      <c r="M299" s="46"/>
      <c r="N299" s="46"/>
      <c r="O299" s="46"/>
      <c r="P299" s="46"/>
      <c r="Q299" s="46"/>
      <c r="R299" s="46"/>
      <c r="S299" s="46"/>
      <c r="T299" s="46"/>
      <c r="U299" s="46"/>
    </row>
    <row r="300" spans="1:21">
      <c r="A300" s="416" t="s">
        <v>9</v>
      </c>
      <c r="B300" s="46" t="s">
        <v>1205</v>
      </c>
      <c r="C300" s="337"/>
      <c r="D300" s="46"/>
      <c r="E300" s="46"/>
      <c r="F300" s="46"/>
      <c r="G300" s="46"/>
      <c r="H300" s="46"/>
      <c r="I300" s="46"/>
      <c r="J300" s="46"/>
      <c r="K300" s="46"/>
      <c r="L300" s="46"/>
      <c r="M300" s="46"/>
      <c r="N300" s="46"/>
      <c r="O300" s="46"/>
      <c r="P300" s="46"/>
      <c r="Q300" s="46"/>
      <c r="R300" s="46"/>
      <c r="S300" s="46"/>
      <c r="T300" s="46"/>
      <c r="U300" s="46"/>
    </row>
    <row r="301" spans="1:21" ht="15.75" customHeight="1">
      <c r="A301" s="338" t="s">
        <v>11</v>
      </c>
      <c r="B301" s="339" t="s">
        <v>789</v>
      </c>
      <c r="C301" s="46"/>
      <c r="D301" s="46"/>
      <c r="E301" s="46"/>
      <c r="F301" s="46"/>
      <c r="G301" s="46"/>
      <c r="H301" s="46"/>
      <c r="I301" s="46"/>
      <c r="J301" s="46"/>
      <c r="K301" s="46"/>
      <c r="L301" s="46"/>
      <c r="M301" s="46"/>
      <c r="N301" s="46"/>
      <c r="O301" s="46"/>
      <c r="P301" s="46"/>
      <c r="Q301" s="46"/>
      <c r="R301" s="46"/>
      <c r="S301" s="46"/>
      <c r="T301" s="46"/>
      <c r="U301" s="46"/>
    </row>
    <row r="302" spans="1:21">
      <c r="A302" s="338" t="s">
        <v>13</v>
      </c>
      <c r="B302" s="46" t="s">
        <v>14</v>
      </c>
      <c r="C302" s="46"/>
      <c r="D302" s="46"/>
      <c r="E302" s="46"/>
      <c r="F302" s="46"/>
      <c r="G302" s="46"/>
      <c r="H302" s="46"/>
      <c r="I302" s="46"/>
      <c r="J302" s="46"/>
      <c r="K302" s="46"/>
      <c r="L302" s="46"/>
      <c r="M302" s="46"/>
      <c r="N302" s="46"/>
      <c r="O302" s="46"/>
      <c r="P302" s="46"/>
      <c r="Q302" s="46"/>
      <c r="R302" s="46"/>
      <c r="S302" s="46"/>
      <c r="T302" s="46"/>
      <c r="U302" s="46"/>
    </row>
    <row r="303" spans="1:21">
      <c r="A303" s="338" t="s">
        <v>15</v>
      </c>
      <c r="B303" s="407">
        <f>B308</f>
        <v>1.2E-2</v>
      </c>
      <c r="C303" s="46"/>
      <c r="D303" s="46"/>
      <c r="E303" s="46"/>
      <c r="F303" s="46"/>
      <c r="G303" s="46"/>
      <c r="H303" s="46"/>
      <c r="I303" s="46"/>
      <c r="J303" s="46"/>
      <c r="K303" s="46"/>
      <c r="L303" s="46"/>
      <c r="M303" s="46"/>
      <c r="N303" s="46"/>
      <c r="O303" s="46"/>
      <c r="P303" s="46"/>
      <c r="Q303" s="46"/>
      <c r="R303" s="46"/>
      <c r="S303" s="46"/>
      <c r="T303" s="46"/>
      <c r="U303" s="46"/>
    </row>
    <row r="304" spans="1:21">
      <c r="A304" s="338" t="s">
        <v>16</v>
      </c>
      <c r="B304" s="46" t="s">
        <v>17</v>
      </c>
      <c r="C304" s="46"/>
      <c r="D304" s="46"/>
      <c r="E304" s="46"/>
      <c r="F304" s="46"/>
      <c r="G304" s="46"/>
      <c r="H304" s="46"/>
      <c r="I304" s="46"/>
      <c r="J304" s="46"/>
      <c r="K304" s="46"/>
      <c r="L304" s="46"/>
      <c r="M304" s="46"/>
      <c r="N304" s="46"/>
      <c r="O304" s="46"/>
      <c r="P304" s="46"/>
      <c r="Q304" s="46"/>
      <c r="R304" s="46"/>
      <c r="S304" s="46"/>
      <c r="T304" s="46"/>
      <c r="U304" s="46"/>
    </row>
    <row r="305" spans="1:21">
      <c r="A305" s="338" t="s">
        <v>18</v>
      </c>
      <c r="B305" s="46" t="s">
        <v>113</v>
      </c>
      <c r="C305" s="46"/>
      <c r="D305" s="46"/>
      <c r="E305" s="46"/>
      <c r="F305" s="46"/>
      <c r="G305" s="46"/>
      <c r="H305" s="46"/>
      <c r="I305" s="46"/>
      <c r="J305" s="46"/>
      <c r="K305" s="46"/>
      <c r="L305" s="46"/>
      <c r="M305" s="46"/>
      <c r="N305" s="46"/>
      <c r="O305" s="46"/>
      <c r="P305" s="46"/>
      <c r="Q305" s="46"/>
      <c r="R305" s="46"/>
      <c r="S305" s="46"/>
      <c r="T305" s="46"/>
      <c r="U305" s="46"/>
    </row>
    <row r="306" spans="1:21">
      <c r="A306" s="335" t="s">
        <v>19</v>
      </c>
      <c r="B306" s="46"/>
      <c r="C306" s="46"/>
      <c r="D306" s="46"/>
      <c r="E306" s="46"/>
      <c r="F306" s="46"/>
      <c r="G306" s="46"/>
      <c r="H306" s="46"/>
      <c r="I306" s="46"/>
      <c r="J306" s="46"/>
      <c r="K306" s="46"/>
      <c r="L306" s="46"/>
      <c r="M306" s="46"/>
      <c r="N306" s="46"/>
      <c r="O306" s="46"/>
      <c r="P306" s="46"/>
      <c r="Q306" s="46"/>
      <c r="R306" s="46"/>
      <c r="S306" s="46"/>
      <c r="T306" s="46"/>
      <c r="U306" s="46"/>
    </row>
    <row r="307" spans="1:21">
      <c r="A307" s="336" t="s">
        <v>20</v>
      </c>
      <c r="B307" s="336" t="s">
        <v>21</v>
      </c>
      <c r="C307" s="336" t="s">
        <v>18</v>
      </c>
      <c r="D307" s="336" t="s">
        <v>22</v>
      </c>
      <c r="E307" s="336" t="s">
        <v>7</v>
      </c>
      <c r="F307" s="336" t="s">
        <v>13</v>
      </c>
      <c r="G307" s="336" t="s">
        <v>16</v>
      </c>
      <c r="H307" s="336" t="s">
        <v>23</v>
      </c>
      <c r="I307" s="336" t="s">
        <v>24</v>
      </c>
      <c r="J307" s="336" t="s">
        <v>25</v>
      </c>
      <c r="K307" s="336" t="s">
        <v>26</v>
      </c>
      <c r="L307" s="336" t="s">
        <v>27</v>
      </c>
      <c r="M307" s="336" t="s">
        <v>28</v>
      </c>
      <c r="N307" s="336" t="s">
        <v>11</v>
      </c>
      <c r="O307" s="46"/>
      <c r="P307" s="46"/>
      <c r="Q307" s="46"/>
      <c r="R307" s="46"/>
      <c r="S307" s="46"/>
      <c r="T307" s="407"/>
      <c r="U307" s="46"/>
    </row>
    <row r="308" spans="1:21">
      <c r="A308" s="46" t="s">
        <v>1204</v>
      </c>
      <c r="B308" s="407">
        <f t="shared" ref="B308:B318" si="25">P308</f>
        <v>1.2E-2</v>
      </c>
      <c r="C308" s="46" t="s">
        <v>113</v>
      </c>
      <c r="D308" s="400" t="s">
        <v>2</v>
      </c>
      <c r="E308" s="46" t="s">
        <v>29</v>
      </c>
      <c r="F308" s="46" t="s">
        <v>14</v>
      </c>
      <c r="G308" s="46" t="s">
        <v>30</v>
      </c>
      <c r="H308" s="46">
        <v>1</v>
      </c>
      <c r="I308" s="407">
        <f>B308</f>
        <v>1.2E-2</v>
      </c>
      <c r="J308" s="46" t="s">
        <v>31</v>
      </c>
      <c r="K308" s="46" t="s">
        <v>31</v>
      </c>
      <c r="L308" s="46" t="s">
        <v>31</v>
      </c>
      <c r="M308" s="46" t="s">
        <v>31</v>
      </c>
      <c r="N308" s="46"/>
      <c r="O308" s="46"/>
      <c r="P308" s="461">
        <v>1.2E-2</v>
      </c>
      <c r="Q308" s="46"/>
      <c r="R308" s="46"/>
      <c r="S308" s="46"/>
      <c r="T308" s="46"/>
      <c r="U308" s="46"/>
    </row>
    <row r="309" spans="1:21">
      <c r="A309" s="46" t="s">
        <v>1206</v>
      </c>
      <c r="B309" s="407">
        <f t="shared" si="25"/>
        <v>1.2E-2</v>
      </c>
      <c r="C309" s="46" t="s">
        <v>113</v>
      </c>
      <c r="D309" s="400" t="s">
        <v>2</v>
      </c>
      <c r="E309" s="46" t="s">
        <v>29</v>
      </c>
      <c r="F309" s="46" t="s">
        <v>14</v>
      </c>
      <c r="G309" s="46" t="s">
        <v>33</v>
      </c>
      <c r="H309" s="46">
        <v>1</v>
      </c>
      <c r="I309" s="407">
        <f>B309</f>
        <v>1.2E-2</v>
      </c>
      <c r="J309" s="46" t="s">
        <v>31</v>
      </c>
      <c r="K309" s="46" t="s">
        <v>31</v>
      </c>
      <c r="L309" s="46" t="s">
        <v>31</v>
      </c>
      <c r="M309" s="46" t="s">
        <v>31</v>
      </c>
      <c r="N309" s="46"/>
      <c r="O309" s="46"/>
      <c r="P309" s="461">
        <v>1.2E-2</v>
      </c>
      <c r="Q309" s="46"/>
      <c r="R309" s="46"/>
      <c r="S309" s="46"/>
      <c r="T309" s="46"/>
      <c r="U309" s="46"/>
    </row>
    <row r="310" spans="1:21">
      <c r="A310" s="338" t="s">
        <v>75</v>
      </c>
      <c r="B310" s="342">
        <f t="shared" si="25"/>
        <v>0.16</v>
      </c>
      <c r="C310" s="46" t="s">
        <v>39</v>
      </c>
      <c r="D310" s="46" t="s">
        <v>40</v>
      </c>
      <c r="E310" s="46" t="s">
        <v>29</v>
      </c>
      <c r="F310" s="32" t="s">
        <v>35</v>
      </c>
      <c r="G310" s="46" t="s">
        <v>33</v>
      </c>
      <c r="H310" s="46">
        <v>2</v>
      </c>
      <c r="I310" s="46">
        <f t="shared" ref="I310" si="26">LN(B310)</f>
        <v>-1.8325814637483102</v>
      </c>
      <c r="J310" s="46">
        <v>0.22500000000000006</v>
      </c>
      <c r="K310" s="46" t="s">
        <v>31</v>
      </c>
      <c r="L310" s="46" t="s">
        <v>31</v>
      </c>
      <c r="M310" s="46" t="s">
        <v>31</v>
      </c>
      <c r="N310" s="46"/>
      <c r="O310" s="393" t="s">
        <v>216</v>
      </c>
      <c r="P310" s="406">
        <v>0.16</v>
      </c>
      <c r="Q310" s="46"/>
      <c r="R310" s="46"/>
      <c r="S310" s="46"/>
      <c r="T310" s="46"/>
      <c r="U310" s="46"/>
    </row>
    <row r="311" spans="1:21">
      <c r="A311" s="47" t="s">
        <v>683</v>
      </c>
      <c r="B311" s="407">
        <f t="shared" si="25"/>
        <v>7.1999999999999998E-3</v>
      </c>
      <c r="C311" s="46" t="s">
        <v>37</v>
      </c>
      <c r="D311" s="46" t="s">
        <v>40</v>
      </c>
      <c r="E311" s="46" t="s">
        <v>29</v>
      </c>
      <c r="F311" s="46" t="s">
        <v>35</v>
      </c>
      <c r="G311" s="46" t="s">
        <v>33</v>
      </c>
      <c r="H311" s="46">
        <v>2</v>
      </c>
      <c r="I311" s="46">
        <f>LN(B311)</f>
        <v>-4.9336742529601274</v>
      </c>
      <c r="J311" s="46">
        <v>0.22500000000000006</v>
      </c>
      <c r="K311" s="46" t="s">
        <v>31</v>
      </c>
      <c r="L311" s="46" t="s">
        <v>31</v>
      </c>
      <c r="M311" s="46" t="s">
        <v>31</v>
      </c>
      <c r="N311" s="46"/>
      <c r="O311" s="393" t="s">
        <v>221</v>
      </c>
      <c r="P311" s="444">
        <v>7.1999999999999998E-3</v>
      </c>
      <c r="Q311" s="46"/>
      <c r="R311" s="46"/>
      <c r="S311" s="46"/>
      <c r="T311" s="46"/>
      <c r="U311" s="46"/>
    </row>
    <row r="312" spans="1:21">
      <c r="A312" s="46" t="s">
        <v>952</v>
      </c>
      <c r="B312" s="407">
        <f t="shared" si="25"/>
        <v>1.55E-2</v>
      </c>
      <c r="C312" s="46" t="s">
        <v>37</v>
      </c>
      <c r="D312" s="46" t="s">
        <v>40</v>
      </c>
      <c r="E312" s="46" t="s">
        <v>29</v>
      </c>
      <c r="F312" s="46" t="s">
        <v>58</v>
      </c>
      <c r="G312" s="46" t="s">
        <v>33</v>
      </c>
      <c r="H312" s="46">
        <v>2</v>
      </c>
      <c r="I312" s="46">
        <f t="shared" ref="I312:I318" si="27">LN(B312)</f>
        <v>-4.1669152550569359</v>
      </c>
      <c r="J312" s="46">
        <v>0.22500000000000006</v>
      </c>
      <c r="K312" s="46" t="s">
        <v>31</v>
      </c>
      <c r="L312" s="46" t="s">
        <v>31</v>
      </c>
      <c r="M312" s="46" t="s">
        <v>31</v>
      </c>
      <c r="N312" s="46"/>
      <c r="O312" s="393" t="s">
        <v>221</v>
      </c>
      <c r="P312" s="444">
        <v>1.55E-2</v>
      </c>
      <c r="Q312" s="46"/>
      <c r="R312" s="46"/>
      <c r="S312" s="46"/>
      <c r="T312" s="46"/>
      <c r="U312" s="46"/>
    </row>
    <row r="313" spans="1:21">
      <c r="A313" s="47" t="s">
        <v>530</v>
      </c>
      <c r="B313" s="407">
        <f t="shared" si="25"/>
        <v>7.1999999999999998E-3</v>
      </c>
      <c r="C313" s="46" t="s">
        <v>37</v>
      </c>
      <c r="D313" s="46" t="s">
        <v>40</v>
      </c>
      <c r="E313" s="46" t="s">
        <v>29</v>
      </c>
      <c r="F313" s="46" t="s">
        <v>35</v>
      </c>
      <c r="G313" s="46" t="s">
        <v>33</v>
      </c>
      <c r="H313" s="46">
        <v>2</v>
      </c>
      <c r="I313" s="46">
        <f t="shared" si="27"/>
        <v>-4.9336742529601274</v>
      </c>
      <c r="J313" s="46">
        <v>0.22500000000000006</v>
      </c>
      <c r="K313" s="46" t="s">
        <v>31</v>
      </c>
      <c r="L313" s="46" t="s">
        <v>31</v>
      </c>
      <c r="M313" s="46" t="s">
        <v>31</v>
      </c>
      <c r="N313" s="46"/>
      <c r="O313" s="393" t="s">
        <v>221</v>
      </c>
      <c r="P313" s="444">
        <v>7.1999999999999998E-3</v>
      </c>
      <c r="Q313" s="46"/>
      <c r="R313" s="46"/>
      <c r="S313" s="46"/>
      <c r="T313" s="46"/>
      <c r="U313" s="46"/>
    </row>
    <row r="314" spans="1:21">
      <c r="A314" s="47" t="s">
        <v>953</v>
      </c>
      <c r="B314" s="407">
        <f t="shared" si="25"/>
        <v>5.4000000000000003E-3</v>
      </c>
      <c r="C314" s="46" t="s">
        <v>37</v>
      </c>
      <c r="D314" s="46" t="s">
        <v>40</v>
      </c>
      <c r="E314" s="46" t="s">
        <v>29</v>
      </c>
      <c r="F314" s="46" t="s">
        <v>58</v>
      </c>
      <c r="G314" s="46" t="s">
        <v>33</v>
      </c>
      <c r="H314" s="46">
        <v>2</v>
      </c>
      <c r="I314" s="46">
        <f t="shared" si="27"/>
        <v>-5.2213563254119082</v>
      </c>
      <c r="J314" s="46">
        <v>0.22500000000000006</v>
      </c>
      <c r="K314" s="46" t="s">
        <v>31</v>
      </c>
      <c r="L314" s="46" t="s">
        <v>31</v>
      </c>
      <c r="M314" s="46" t="s">
        <v>31</v>
      </c>
      <c r="N314" s="46"/>
      <c r="O314" s="393" t="s">
        <v>221</v>
      </c>
      <c r="P314" s="444">
        <v>5.4000000000000003E-3</v>
      </c>
      <c r="Q314" s="46"/>
      <c r="R314" s="46"/>
      <c r="S314" s="46"/>
      <c r="T314" s="46"/>
      <c r="U314" s="46"/>
    </row>
    <row r="315" spans="1:21">
      <c r="A315" s="47" t="s">
        <v>954</v>
      </c>
      <c r="B315" s="407">
        <f t="shared" si="25"/>
        <v>1.55E-2</v>
      </c>
      <c r="C315" s="46" t="s">
        <v>37</v>
      </c>
      <c r="D315" s="46" t="s">
        <v>40</v>
      </c>
      <c r="E315" s="46" t="s">
        <v>29</v>
      </c>
      <c r="F315" s="46" t="s">
        <v>58</v>
      </c>
      <c r="G315" s="46" t="s">
        <v>33</v>
      </c>
      <c r="H315" s="46">
        <v>2</v>
      </c>
      <c r="I315" s="46">
        <f t="shared" si="27"/>
        <v>-4.1669152550569359</v>
      </c>
      <c r="J315" s="46">
        <v>0.22500000000000006</v>
      </c>
      <c r="K315" s="46" t="s">
        <v>31</v>
      </c>
      <c r="L315" s="46" t="s">
        <v>31</v>
      </c>
      <c r="M315" s="46" t="s">
        <v>31</v>
      </c>
      <c r="N315" s="46"/>
      <c r="O315" s="393" t="s">
        <v>221</v>
      </c>
      <c r="P315" s="444">
        <v>1.55E-2</v>
      </c>
      <c r="Q315" s="46"/>
      <c r="R315" s="46"/>
      <c r="S315" s="46"/>
      <c r="T315" s="46"/>
      <c r="U315" s="46"/>
    </row>
    <row r="316" spans="1:21">
      <c r="A316" s="338" t="s">
        <v>792</v>
      </c>
      <c r="B316" s="407">
        <f t="shared" si="25"/>
        <v>0.28599999999999998</v>
      </c>
      <c r="C316" s="46" t="s">
        <v>37</v>
      </c>
      <c r="D316" s="46" t="s">
        <v>40</v>
      </c>
      <c r="E316" s="46" t="s">
        <v>29</v>
      </c>
      <c r="F316" s="32" t="s">
        <v>741</v>
      </c>
      <c r="G316" s="46" t="s">
        <v>33</v>
      </c>
      <c r="H316" s="46">
        <v>2</v>
      </c>
      <c r="I316" s="46">
        <f t="shared" si="27"/>
        <v>-1.2517634681622845</v>
      </c>
      <c r="J316" s="46">
        <v>0.22500000000000006</v>
      </c>
      <c r="K316" s="46" t="s">
        <v>31</v>
      </c>
      <c r="L316" s="46" t="s">
        <v>31</v>
      </c>
      <c r="M316" s="46" t="s">
        <v>31</v>
      </c>
      <c r="N316" s="46"/>
      <c r="O316" s="393" t="s">
        <v>221</v>
      </c>
      <c r="P316" s="444">
        <v>0.28599999999999998</v>
      </c>
      <c r="Q316" s="46"/>
      <c r="R316" s="46"/>
      <c r="S316" s="46"/>
      <c r="T316" s="46"/>
      <c r="U316" s="46"/>
    </row>
    <row r="317" spans="1:21">
      <c r="A317" s="47" t="s">
        <v>760</v>
      </c>
      <c r="B317" s="407">
        <f t="shared" si="25"/>
        <v>2.7000000000000001E-3</v>
      </c>
      <c r="C317" s="46" t="s">
        <v>37</v>
      </c>
      <c r="D317" s="46" t="s">
        <v>43</v>
      </c>
      <c r="E317" s="46" t="s">
        <v>44</v>
      </c>
      <c r="F317" s="46" t="s">
        <v>29</v>
      </c>
      <c r="G317" s="46" t="s">
        <v>45</v>
      </c>
      <c r="H317" s="46">
        <v>2</v>
      </c>
      <c r="I317" s="46">
        <f t="shared" si="27"/>
        <v>-5.9145035059718536</v>
      </c>
      <c r="J317" s="46">
        <v>0.22500000000000006</v>
      </c>
      <c r="K317" s="46" t="s">
        <v>31</v>
      </c>
      <c r="L317" s="46" t="s">
        <v>31</v>
      </c>
      <c r="M317" s="46" t="s">
        <v>31</v>
      </c>
      <c r="N317" s="46"/>
      <c r="O317" s="408" t="s">
        <v>221</v>
      </c>
      <c r="P317" s="409">
        <v>2.7000000000000001E-3</v>
      </c>
      <c r="Q317" s="46"/>
      <c r="R317" s="46"/>
      <c r="S317" s="46"/>
      <c r="T317" s="46"/>
      <c r="U317" s="46"/>
    </row>
    <row r="318" spans="1:21">
      <c r="A318" s="46" t="s">
        <v>777</v>
      </c>
      <c r="B318" s="407">
        <f t="shared" si="25"/>
        <v>5.0999999999999997E-2</v>
      </c>
      <c r="C318" s="46" t="s">
        <v>37</v>
      </c>
      <c r="D318" s="400" t="s">
        <v>2</v>
      </c>
      <c r="E318" s="46" t="s">
        <v>29</v>
      </c>
      <c r="F318" s="32" t="s">
        <v>741</v>
      </c>
      <c r="G318" s="46" t="s">
        <v>33</v>
      </c>
      <c r="H318" s="46">
        <v>2</v>
      </c>
      <c r="I318" s="46">
        <f t="shared" si="27"/>
        <v>-2.9759296462578115</v>
      </c>
      <c r="J318" s="46">
        <v>0.22500000000000006</v>
      </c>
      <c r="K318" s="46" t="s">
        <v>31</v>
      </c>
      <c r="L318" s="46" t="s">
        <v>31</v>
      </c>
      <c r="M318" s="46" t="s">
        <v>31</v>
      </c>
      <c r="N318" s="46"/>
      <c r="O318" s="410" t="s">
        <v>221</v>
      </c>
      <c r="P318" s="445">
        <v>5.0999999999999997E-2</v>
      </c>
      <c r="Q318" s="46"/>
      <c r="R318" s="46"/>
      <c r="S318" s="46"/>
      <c r="T318" s="46"/>
      <c r="U318" s="46"/>
    </row>
    <row r="319" spans="1:21" s="41" customFormat="1">
      <c r="A319" s="362" t="s">
        <v>5</v>
      </c>
      <c r="B319" s="363" t="s">
        <v>1206</v>
      </c>
      <c r="C319" s="345"/>
      <c r="D319" s="345"/>
      <c r="E319" s="345"/>
      <c r="F319" s="345"/>
      <c r="G319" s="345"/>
      <c r="H319" s="345"/>
      <c r="I319" s="345"/>
      <c r="J319" s="345"/>
      <c r="K319" s="345"/>
      <c r="L319" s="345"/>
      <c r="M319" s="345"/>
      <c r="N319" s="345"/>
      <c r="O319" s="345"/>
      <c r="P319" s="345"/>
      <c r="Q319" s="345"/>
      <c r="R319" s="345"/>
      <c r="S319" s="345"/>
      <c r="T319" s="345"/>
      <c r="U319" s="345"/>
    </row>
    <row r="320" spans="1:21">
      <c r="A320" s="338" t="s">
        <v>7</v>
      </c>
      <c r="B320" s="46" t="s">
        <v>779</v>
      </c>
      <c r="C320" s="337"/>
      <c r="D320" s="46"/>
      <c r="E320" s="46"/>
      <c r="F320" s="46"/>
      <c r="G320" s="46"/>
      <c r="H320" s="46"/>
      <c r="I320" s="46"/>
      <c r="J320" s="46"/>
      <c r="K320" s="46"/>
      <c r="L320" s="46"/>
      <c r="M320" s="46"/>
      <c r="N320" s="46"/>
      <c r="O320" s="46"/>
      <c r="P320" s="46"/>
      <c r="Q320" s="46"/>
      <c r="R320" s="46"/>
      <c r="S320" s="46"/>
      <c r="T320" s="46"/>
      <c r="U320" s="46"/>
    </row>
    <row r="321" spans="1:21">
      <c r="A321" s="416" t="s">
        <v>9</v>
      </c>
      <c r="B321" s="46" t="s">
        <v>1207</v>
      </c>
      <c r="C321" s="337"/>
      <c r="D321" s="46"/>
      <c r="E321" s="46"/>
      <c r="F321" s="46"/>
      <c r="G321" s="46"/>
      <c r="H321" s="46"/>
      <c r="I321" s="46"/>
      <c r="J321" s="46"/>
      <c r="K321" s="46"/>
      <c r="L321" s="46"/>
      <c r="M321" s="46"/>
      <c r="N321" s="46"/>
      <c r="O321" s="46"/>
      <c r="P321" s="46"/>
      <c r="Q321" s="46"/>
      <c r="R321" s="46"/>
      <c r="S321" s="46"/>
      <c r="T321" s="46"/>
      <c r="U321" s="46"/>
    </row>
    <row r="322" spans="1:21" ht="15.75" customHeight="1">
      <c r="A322" s="338" t="s">
        <v>11</v>
      </c>
      <c r="B322" s="339" t="s">
        <v>789</v>
      </c>
      <c r="C322" s="46"/>
      <c r="D322" s="46"/>
      <c r="E322" s="46"/>
      <c r="F322" s="46"/>
      <c r="G322" s="46"/>
      <c r="H322" s="46"/>
      <c r="I322" s="46"/>
      <c r="J322" s="46"/>
      <c r="K322" s="46"/>
      <c r="L322" s="46"/>
      <c r="M322" s="46"/>
      <c r="N322" s="46"/>
      <c r="O322" s="46"/>
      <c r="P322" s="46"/>
      <c r="Q322" s="46"/>
      <c r="R322" s="46"/>
      <c r="S322" s="46"/>
      <c r="T322" s="46"/>
      <c r="U322" s="46"/>
    </row>
    <row r="323" spans="1:21">
      <c r="A323" s="338" t="s">
        <v>13</v>
      </c>
      <c r="B323" s="46" t="s">
        <v>14</v>
      </c>
      <c r="C323" s="46"/>
      <c r="D323" s="46"/>
      <c r="E323" s="46"/>
      <c r="F323" s="46"/>
      <c r="G323" s="46"/>
      <c r="H323" s="46"/>
      <c r="I323" s="46"/>
      <c r="J323" s="46"/>
      <c r="K323" s="46"/>
      <c r="L323" s="46"/>
      <c r="M323" s="46"/>
      <c r="N323" s="46"/>
      <c r="O323" s="46"/>
      <c r="P323" s="46"/>
      <c r="Q323" s="46"/>
      <c r="R323" s="46"/>
      <c r="S323" s="46"/>
      <c r="T323" s="46"/>
      <c r="U323" s="46"/>
    </row>
    <row r="324" spans="1:21">
      <c r="A324" s="338" t="s">
        <v>15</v>
      </c>
      <c r="B324" s="407">
        <f>B329</f>
        <v>1.2E-2</v>
      </c>
      <c r="C324" s="46"/>
      <c r="D324" s="46"/>
      <c r="E324" s="46"/>
      <c r="F324" s="46"/>
      <c r="G324" s="46"/>
      <c r="H324" s="46"/>
      <c r="I324" s="46"/>
      <c r="J324" s="46"/>
      <c r="K324" s="46"/>
      <c r="L324" s="46"/>
      <c r="M324" s="46"/>
      <c r="N324" s="46"/>
      <c r="O324" s="46"/>
      <c r="P324" s="46"/>
      <c r="Q324" s="46"/>
      <c r="R324" s="46"/>
      <c r="S324" s="46"/>
      <c r="T324" s="46"/>
      <c r="U324" s="46"/>
    </row>
    <row r="325" spans="1:21">
      <c r="A325" s="338" t="s">
        <v>16</v>
      </c>
      <c r="B325" s="46" t="s">
        <v>17</v>
      </c>
      <c r="C325" s="46"/>
      <c r="D325" s="46"/>
      <c r="E325" s="46"/>
      <c r="F325" s="46"/>
      <c r="G325" s="46"/>
      <c r="H325" s="46"/>
      <c r="I325" s="46"/>
      <c r="J325" s="46"/>
      <c r="K325" s="46"/>
      <c r="L325" s="46"/>
      <c r="M325" s="46"/>
      <c r="N325" s="46"/>
      <c r="O325" s="46"/>
      <c r="P325" s="46"/>
      <c r="Q325" s="46"/>
      <c r="R325" s="46"/>
      <c r="S325" s="46"/>
      <c r="T325" s="46"/>
      <c r="U325" s="46"/>
    </row>
    <row r="326" spans="1:21">
      <c r="A326" s="338" t="s">
        <v>18</v>
      </c>
      <c r="B326" s="46" t="s">
        <v>113</v>
      </c>
      <c r="C326" s="46"/>
      <c r="D326" s="46"/>
      <c r="E326" s="46"/>
      <c r="F326" s="46"/>
      <c r="G326" s="46"/>
      <c r="H326" s="46"/>
      <c r="I326" s="46"/>
      <c r="J326" s="46"/>
      <c r="K326" s="46"/>
      <c r="L326" s="46"/>
      <c r="M326" s="46"/>
      <c r="N326" s="46"/>
      <c r="O326" s="46"/>
      <c r="P326" s="46"/>
      <c r="Q326" s="46"/>
      <c r="R326" s="46"/>
      <c r="S326" s="46"/>
      <c r="T326" s="46"/>
      <c r="U326" s="46"/>
    </row>
    <row r="327" spans="1:21">
      <c r="A327" s="335" t="s">
        <v>19</v>
      </c>
      <c r="B327" s="46"/>
      <c r="C327" s="46"/>
      <c r="D327" s="46"/>
      <c r="E327" s="46"/>
      <c r="F327" s="46"/>
      <c r="G327" s="46"/>
      <c r="H327" s="46"/>
      <c r="I327" s="46"/>
      <c r="J327" s="46"/>
      <c r="K327" s="46"/>
      <c r="L327" s="46"/>
      <c r="M327" s="46"/>
      <c r="N327" s="46"/>
      <c r="O327" s="46"/>
      <c r="P327" s="46"/>
      <c r="Q327" s="46"/>
      <c r="R327" s="46"/>
      <c r="S327" s="46"/>
      <c r="T327" s="46"/>
      <c r="U327" s="46"/>
    </row>
    <row r="328" spans="1:21">
      <c r="A328" s="336" t="s">
        <v>20</v>
      </c>
      <c r="B328" s="336" t="s">
        <v>21</v>
      </c>
      <c r="C328" s="336" t="s">
        <v>18</v>
      </c>
      <c r="D328" s="336" t="s">
        <v>22</v>
      </c>
      <c r="E328" s="336" t="s">
        <v>7</v>
      </c>
      <c r="F328" s="336" t="s">
        <v>13</v>
      </c>
      <c r="G328" s="336" t="s">
        <v>16</v>
      </c>
      <c r="H328" s="336" t="s">
        <v>23</v>
      </c>
      <c r="I328" s="336" t="s">
        <v>24</v>
      </c>
      <c r="J328" s="336" t="s">
        <v>25</v>
      </c>
      <c r="K328" s="336" t="s">
        <v>26</v>
      </c>
      <c r="L328" s="336" t="s">
        <v>27</v>
      </c>
      <c r="M328" s="336" t="s">
        <v>28</v>
      </c>
      <c r="N328" s="336" t="s">
        <v>11</v>
      </c>
      <c r="O328" s="46"/>
      <c r="P328" s="46"/>
      <c r="Q328" s="46"/>
      <c r="R328" s="46"/>
      <c r="S328" s="46"/>
      <c r="T328" s="407"/>
      <c r="U328" s="46"/>
    </row>
    <row r="329" spans="1:21">
      <c r="A329" s="46" t="s">
        <v>1206</v>
      </c>
      <c r="B329" s="407">
        <f>P330</f>
        <v>1.2E-2</v>
      </c>
      <c r="C329" s="46" t="s">
        <v>113</v>
      </c>
      <c r="D329" s="400" t="s">
        <v>2</v>
      </c>
      <c r="E329" s="46" t="s">
        <v>29</v>
      </c>
      <c r="F329" s="46" t="s">
        <v>14</v>
      </c>
      <c r="G329" s="46" t="s">
        <v>30</v>
      </c>
      <c r="H329" s="46">
        <v>1</v>
      </c>
      <c r="I329" s="407">
        <f>B329</f>
        <v>1.2E-2</v>
      </c>
      <c r="J329" s="46" t="s">
        <v>31</v>
      </c>
      <c r="K329" s="46" t="s">
        <v>31</v>
      </c>
      <c r="L329" s="46" t="s">
        <v>31</v>
      </c>
      <c r="M329" s="46" t="s">
        <v>31</v>
      </c>
      <c r="N329" s="46"/>
      <c r="O329" s="46"/>
      <c r="P329" s="46"/>
      <c r="Q329" s="46"/>
      <c r="R329" s="46"/>
      <c r="S329" s="46"/>
      <c r="T329" s="46"/>
      <c r="U329" s="46"/>
    </row>
    <row r="330" spans="1:21">
      <c r="A330" s="62" t="s">
        <v>1208</v>
      </c>
      <c r="B330" s="407">
        <f>P330</f>
        <v>1.2E-2</v>
      </c>
      <c r="C330" s="46" t="s">
        <v>113</v>
      </c>
      <c r="D330" s="400" t="s">
        <v>2</v>
      </c>
      <c r="E330" s="46" t="s">
        <v>29</v>
      </c>
      <c r="F330" s="46" t="s">
        <v>14</v>
      </c>
      <c r="G330" s="46" t="s">
        <v>33</v>
      </c>
      <c r="H330" s="46">
        <v>1</v>
      </c>
      <c r="I330" s="407">
        <f>B330</f>
        <v>1.2E-2</v>
      </c>
      <c r="J330" s="46">
        <v>2.8722813232690055E-2</v>
      </c>
      <c r="K330" s="46" t="s">
        <v>31</v>
      </c>
      <c r="L330" s="46" t="s">
        <v>31</v>
      </c>
      <c r="M330" s="46" t="s">
        <v>31</v>
      </c>
      <c r="N330" s="46"/>
      <c r="O330" s="388" t="s">
        <v>817</v>
      </c>
      <c r="P330" s="446">
        <v>1.2E-2</v>
      </c>
      <c r="Q330" s="46"/>
      <c r="R330" s="46"/>
      <c r="S330" s="46"/>
      <c r="T330" s="46"/>
      <c r="U330" s="46"/>
    </row>
    <row r="331" spans="1:21">
      <c r="A331" s="62" t="s">
        <v>1151</v>
      </c>
      <c r="B331" s="46">
        <f>R331</f>
        <v>0.124</v>
      </c>
      <c r="C331" s="46" t="s">
        <v>221</v>
      </c>
      <c r="D331" s="400" t="s">
        <v>2</v>
      </c>
      <c r="E331" s="46" t="s">
        <v>29</v>
      </c>
      <c r="F331" s="46" t="s">
        <v>14</v>
      </c>
      <c r="G331" s="46" t="s">
        <v>33</v>
      </c>
      <c r="H331" s="46">
        <v>1</v>
      </c>
      <c r="I331" s="407">
        <f>B331</f>
        <v>0.124</v>
      </c>
      <c r="J331" s="46">
        <v>2.8722813232690055E-2</v>
      </c>
      <c r="K331" s="46" t="s">
        <v>31</v>
      </c>
      <c r="L331" s="46" t="s">
        <v>31</v>
      </c>
      <c r="M331" s="46" t="s">
        <v>31</v>
      </c>
      <c r="N331" s="46"/>
      <c r="O331" s="388" t="s">
        <v>575</v>
      </c>
      <c r="P331" s="447">
        <v>124</v>
      </c>
      <c r="Q331" s="46" t="s">
        <v>221</v>
      </c>
      <c r="R331" s="46">
        <f>P331*0.001</f>
        <v>0.124</v>
      </c>
      <c r="S331" s="46"/>
      <c r="T331" s="46"/>
      <c r="U331" s="46"/>
    </row>
    <row r="332" spans="1:21">
      <c r="A332" s="338" t="s">
        <v>75</v>
      </c>
      <c r="B332" s="342">
        <f>P332</f>
        <v>0.01</v>
      </c>
      <c r="C332" s="46" t="s">
        <v>39</v>
      </c>
      <c r="D332" s="46" t="s">
        <v>40</v>
      </c>
      <c r="E332" s="46" t="s">
        <v>29</v>
      </c>
      <c r="F332" s="32" t="s">
        <v>35</v>
      </c>
      <c r="G332" s="46" t="s">
        <v>33</v>
      </c>
      <c r="H332" s="46">
        <v>2</v>
      </c>
      <c r="I332" s="46">
        <f t="shared" ref="I332:I334" si="28">LN(B332)</f>
        <v>-4.6051701859880909</v>
      </c>
      <c r="J332" s="46">
        <v>0.20928449536456342</v>
      </c>
      <c r="K332" s="46" t="s">
        <v>31</v>
      </c>
      <c r="L332" s="46" t="s">
        <v>31</v>
      </c>
      <c r="M332" s="46" t="s">
        <v>31</v>
      </c>
      <c r="N332" s="46"/>
      <c r="O332" s="393" t="s">
        <v>216</v>
      </c>
      <c r="P332" s="175">
        <v>0.01</v>
      </c>
      <c r="Q332" s="46"/>
      <c r="R332" s="46"/>
      <c r="S332" s="46"/>
      <c r="T332" s="46"/>
      <c r="U332" s="46"/>
    </row>
    <row r="333" spans="1:21">
      <c r="A333" s="338" t="s">
        <v>75</v>
      </c>
      <c r="B333" s="342">
        <f>P333</f>
        <v>0.7</v>
      </c>
      <c r="C333" s="46" t="s">
        <v>39</v>
      </c>
      <c r="D333" s="46" t="s">
        <v>40</v>
      </c>
      <c r="E333" s="46" t="s">
        <v>29</v>
      </c>
      <c r="F333" s="32" t="s">
        <v>35</v>
      </c>
      <c r="G333" s="46" t="s">
        <v>33</v>
      </c>
      <c r="H333" s="46">
        <v>2</v>
      </c>
      <c r="I333" s="46">
        <f t="shared" si="28"/>
        <v>-0.35667494393873245</v>
      </c>
      <c r="J333" s="46">
        <v>0.20928449536456342</v>
      </c>
      <c r="K333" s="46" t="s">
        <v>31</v>
      </c>
      <c r="L333" s="46" t="s">
        <v>31</v>
      </c>
      <c r="M333" s="46" t="s">
        <v>31</v>
      </c>
      <c r="N333" s="46"/>
      <c r="O333" s="393" t="s">
        <v>216</v>
      </c>
      <c r="P333" s="120">
        <v>0.7</v>
      </c>
      <c r="Q333" s="46"/>
      <c r="R333" s="46"/>
      <c r="S333" s="46"/>
      <c r="T333" s="46"/>
      <c r="U333" s="46"/>
    </row>
    <row r="334" spans="1:21">
      <c r="A334" s="338" t="s">
        <v>75</v>
      </c>
      <c r="B334" s="342">
        <f>P334</f>
        <v>0.18</v>
      </c>
      <c r="C334" s="46" t="s">
        <v>39</v>
      </c>
      <c r="D334" s="46" t="s">
        <v>40</v>
      </c>
      <c r="E334" s="46" t="s">
        <v>29</v>
      </c>
      <c r="F334" s="32" t="s">
        <v>35</v>
      </c>
      <c r="G334" s="46" t="s">
        <v>33</v>
      </c>
      <c r="H334" s="46">
        <v>2</v>
      </c>
      <c r="I334" s="46">
        <f t="shared" si="28"/>
        <v>-1.7147984280919266</v>
      </c>
      <c r="J334" s="46">
        <v>9.6436507609929598E-2</v>
      </c>
      <c r="K334" s="46" t="s">
        <v>31</v>
      </c>
      <c r="L334" s="46" t="s">
        <v>31</v>
      </c>
      <c r="M334" s="46" t="s">
        <v>31</v>
      </c>
      <c r="N334" s="46"/>
      <c r="O334" s="393" t="s">
        <v>216</v>
      </c>
      <c r="P334" s="120">
        <v>0.18</v>
      </c>
      <c r="Q334" s="46"/>
      <c r="R334" s="46"/>
      <c r="S334" s="46"/>
      <c r="T334" s="46"/>
      <c r="U334" s="46"/>
    </row>
    <row r="335" spans="1:21">
      <c r="A335" s="47" t="s">
        <v>683</v>
      </c>
      <c r="B335" s="407">
        <f>R335</f>
        <v>1E-3</v>
      </c>
      <c r="C335" s="46" t="s">
        <v>37</v>
      </c>
      <c r="D335" s="46" t="s">
        <v>40</v>
      </c>
      <c r="E335" s="46" t="s">
        <v>29</v>
      </c>
      <c r="F335" s="46" t="s">
        <v>35</v>
      </c>
      <c r="G335" s="46" t="s">
        <v>33</v>
      </c>
      <c r="H335" s="46">
        <v>2</v>
      </c>
      <c r="I335" s="46">
        <f>LN(B335)</f>
        <v>-6.9077552789821368</v>
      </c>
      <c r="J335" s="46">
        <v>0.20928449536456342</v>
      </c>
      <c r="K335" s="46" t="s">
        <v>31</v>
      </c>
      <c r="L335" s="46" t="s">
        <v>31</v>
      </c>
      <c r="M335" s="46" t="s">
        <v>31</v>
      </c>
      <c r="N335" s="46"/>
      <c r="O335" s="393" t="s">
        <v>575</v>
      </c>
      <c r="P335" s="120">
        <v>1</v>
      </c>
      <c r="Q335" s="46" t="s">
        <v>221</v>
      </c>
      <c r="R335" s="46">
        <f>P335*0.001</f>
        <v>1E-3</v>
      </c>
      <c r="S335" s="46"/>
      <c r="T335" s="46"/>
      <c r="U335" s="46"/>
    </row>
    <row r="336" spans="1:21">
      <c r="A336" s="338" t="s">
        <v>792</v>
      </c>
      <c r="B336" s="407">
        <f>P336</f>
        <v>0.01</v>
      </c>
      <c r="C336" s="46" t="s">
        <v>37</v>
      </c>
      <c r="D336" s="46" t="s">
        <v>40</v>
      </c>
      <c r="E336" s="46" t="s">
        <v>29</v>
      </c>
      <c r="F336" s="32" t="s">
        <v>741</v>
      </c>
      <c r="G336" s="46" t="s">
        <v>33</v>
      </c>
      <c r="H336" s="46">
        <v>2</v>
      </c>
      <c r="I336" s="46">
        <f>LN(B336)</f>
        <v>-4.6051701859880909</v>
      </c>
      <c r="J336" s="46">
        <v>0.20928449536456342</v>
      </c>
      <c r="K336" s="46" t="s">
        <v>31</v>
      </c>
      <c r="L336" s="46" t="s">
        <v>31</v>
      </c>
      <c r="M336" s="46" t="s">
        <v>31</v>
      </c>
      <c r="N336" s="46"/>
      <c r="O336" s="393" t="s">
        <v>221</v>
      </c>
      <c r="P336" s="175">
        <v>0.01</v>
      </c>
      <c r="Q336" s="46"/>
      <c r="R336" s="46"/>
      <c r="S336" s="46"/>
      <c r="T336" s="46"/>
      <c r="U336" s="46"/>
    </row>
    <row r="337" spans="1:21">
      <c r="A337" s="47" t="s">
        <v>542</v>
      </c>
      <c r="B337" s="433">
        <f>R337</f>
        <v>1.8000000000000002E-3</v>
      </c>
      <c r="C337" s="46" t="s">
        <v>37</v>
      </c>
      <c r="D337" s="46" t="s">
        <v>40</v>
      </c>
      <c r="E337" s="46" t="s">
        <v>29</v>
      </c>
      <c r="F337" s="32" t="s">
        <v>128</v>
      </c>
      <c r="G337" s="46" t="s">
        <v>33</v>
      </c>
      <c r="H337" s="46">
        <v>2</v>
      </c>
      <c r="I337" s="46">
        <f>LN(B337)</f>
        <v>-6.3199686140800182</v>
      </c>
      <c r="J337" s="46">
        <v>0.20928449536456342</v>
      </c>
      <c r="K337" s="46" t="s">
        <v>31</v>
      </c>
      <c r="L337" s="46" t="s">
        <v>31</v>
      </c>
      <c r="M337" s="46" t="s">
        <v>31</v>
      </c>
      <c r="N337" s="46"/>
      <c r="O337" s="393" t="s">
        <v>575</v>
      </c>
      <c r="P337" s="120">
        <v>1.8</v>
      </c>
      <c r="Q337" s="46" t="s">
        <v>221</v>
      </c>
      <c r="R337" s="46">
        <f>P337*0.001</f>
        <v>1.8000000000000002E-3</v>
      </c>
      <c r="S337" s="46"/>
      <c r="T337" s="46"/>
      <c r="U337" s="46"/>
    </row>
    <row r="338" spans="1:21">
      <c r="A338" s="47" t="s">
        <v>530</v>
      </c>
      <c r="B338" s="46">
        <f>R338</f>
        <v>3.0000000000000001E-3</v>
      </c>
      <c r="C338" s="46" t="s">
        <v>37</v>
      </c>
      <c r="D338" s="46" t="s">
        <v>40</v>
      </c>
      <c r="E338" s="46" t="s">
        <v>29</v>
      </c>
      <c r="F338" s="46" t="s">
        <v>35</v>
      </c>
      <c r="G338" s="46" t="s">
        <v>33</v>
      </c>
      <c r="H338" s="46">
        <v>2</v>
      </c>
      <c r="I338" s="46">
        <f>LN(B338)</f>
        <v>-5.8091429903140277</v>
      </c>
      <c r="J338" s="46">
        <v>0.20928449536456342</v>
      </c>
      <c r="K338" s="46" t="s">
        <v>31</v>
      </c>
      <c r="L338" s="46" t="s">
        <v>31</v>
      </c>
      <c r="M338" s="46" t="s">
        <v>31</v>
      </c>
      <c r="N338" s="46"/>
      <c r="O338" s="393" t="s">
        <v>575</v>
      </c>
      <c r="P338" s="120">
        <v>3</v>
      </c>
      <c r="Q338" s="46" t="s">
        <v>221</v>
      </c>
      <c r="R338" s="46">
        <f>P338*0.001</f>
        <v>3.0000000000000001E-3</v>
      </c>
      <c r="S338" s="46"/>
      <c r="T338" s="46"/>
      <c r="U338" s="46"/>
    </row>
    <row r="339" spans="1:21">
      <c r="A339" s="338" t="s">
        <v>480</v>
      </c>
      <c r="B339" s="46">
        <f>P339</f>
        <v>2.1</v>
      </c>
      <c r="C339" s="46" t="s">
        <v>37</v>
      </c>
      <c r="D339" s="46" t="s">
        <v>40</v>
      </c>
      <c r="E339" s="46" t="s">
        <v>29</v>
      </c>
      <c r="F339" s="32" t="s">
        <v>35</v>
      </c>
      <c r="G339" s="46" t="s">
        <v>33</v>
      </c>
      <c r="H339" s="46">
        <v>2</v>
      </c>
      <c r="I339" s="46">
        <f t="shared" ref="I339:I340" si="29">LN(B339)</f>
        <v>0.74193734472937733</v>
      </c>
      <c r="J339" s="46">
        <v>0.20928449536456342</v>
      </c>
      <c r="K339" s="46" t="s">
        <v>31</v>
      </c>
      <c r="L339" s="46" t="s">
        <v>31</v>
      </c>
      <c r="M339" s="46" t="s">
        <v>31</v>
      </c>
      <c r="N339" s="46"/>
      <c r="O339" s="393" t="s">
        <v>221</v>
      </c>
      <c r="P339" s="120">
        <v>2.1</v>
      </c>
      <c r="Q339" s="46"/>
      <c r="R339" s="46"/>
      <c r="S339" s="46"/>
      <c r="T339" s="46"/>
      <c r="U339" s="46"/>
    </row>
    <row r="340" spans="1:21">
      <c r="A340" s="46" t="s">
        <v>777</v>
      </c>
      <c r="B340" s="407">
        <f>P340</f>
        <v>6.0000000000000001E-3</v>
      </c>
      <c r="C340" s="46" t="s">
        <v>37</v>
      </c>
      <c r="D340" s="400" t="s">
        <v>2</v>
      </c>
      <c r="E340" s="46" t="s">
        <v>29</v>
      </c>
      <c r="F340" s="32" t="s">
        <v>741</v>
      </c>
      <c r="G340" s="46" t="s">
        <v>33</v>
      </c>
      <c r="H340" s="46">
        <v>2</v>
      </c>
      <c r="I340" s="46">
        <f t="shared" si="29"/>
        <v>-5.1159958097540823</v>
      </c>
      <c r="J340" s="46">
        <v>0.20928449536456342</v>
      </c>
      <c r="K340" s="46" t="s">
        <v>31</v>
      </c>
      <c r="L340" s="46" t="s">
        <v>31</v>
      </c>
      <c r="M340" s="46" t="s">
        <v>31</v>
      </c>
      <c r="N340" s="46"/>
      <c r="O340" s="410" t="s">
        <v>221</v>
      </c>
      <c r="P340" s="196">
        <v>6.0000000000000001E-3</v>
      </c>
      <c r="Q340" s="46"/>
      <c r="R340" s="46"/>
      <c r="S340" s="46"/>
      <c r="T340" s="46"/>
      <c r="U340" s="46"/>
    </row>
    <row r="341" spans="1:21" s="41" customFormat="1">
      <c r="A341" s="362" t="s">
        <v>5</v>
      </c>
      <c r="B341" s="363" t="s">
        <v>1208</v>
      </c>
      <c r="C341" s="345"/>
      <c r="D341" s="345"/>
      <c r="E341" s="345"/>
      <c r="F341" s="345"/>
      <c r="G341" s="345"/>
      <c r="H341" s="345"/>
      <c r="I341" s="345"/>
      <c r="J341" s="345"/>
      <c r="K341" s="345"/>
      <c r="L341" s="345"/>
      <c r="M341" s="345"/>
      <c r="N341" s="345"/>
      <c r="O341" s="345"/>
      <c r="P341" s="461"/>
      <c r="Q341" s="345"/>
      <c r="R341" s="345"/>
      <c r="S341" s="345"/>
      <c r="T341" s="345"/>
      <c r="U341" s="345"/>
    </row>
    <row r="342" spans="1:21">
      <c r="A342" s="338" t="s">
        <v>7</v>
      </c>
      <c r="B342" s="46" t="s">
        <v>779</v>
      </c>
      <c r="C342" s="337"/>
      <c r="D342" s="46"/>
      <c r="E342" s="46"/>
      <c r="F342" s="46"/>
      <c r="G342" s="46"/>
      <c r="H342" s="46"/>
      <c r="I342" s="46"/>
      <c r="J342" s="46"/>
      <c r="K342" s="46"/>
      <c r="L342" s="46"/>
      <c r="M342" s="46"/>
      <c r="N342" s="46"/>
      <c r="O342" s="46"/>
      <c r="P342" s="46"/>
      <c r="Q342" s="46"/>
      <c r="R342" s="46"/>
      <c r="S342" s="46"/>
      <c r="T342" s="46"/>
      <c r="U342" s="46"/>
    </row>
    <row r="343" spans="1:21">
      <c r="A343" s="416" t="s">
        <v>9</v>
      </c>
      <c r="B343" s="46" t="s">
        <v>1209</v>
      </c>
      <c r="C343" s="337"/>
      <c r="D343" s="46"/>
      <c r="E343" s="46"/>
      <c r="F343" s="46"/>
      <c r="G343" s="46"/>
      <c r="H343" s="46"/>
      <c r="I343" s="46"/>
      <c r="J343" s="46"/>
      <c r="K343" s="46"/>
      <c r="L343" s="46"/>
      <c r="M343" s="46"/>
      <c r="N343" s="46"/>
      <c r="O343" s="46"/>
      <c r="P343" s="46"/>
      <c r="Q343" s="46"/>
      <c r="R343" s="46"/>
      <c r="S343" s="46"/>
      <c r="T343" s="46"/>
      <c r="U343" s="46"/>
    </row>
    <row r="344" spans="1:21" ht="15.75" customHeight="1">
      <c r="A344" s="338" t="s">
        <v>11</v>
      </c>
      <c r="B344" s="339" t="s">
        <v>789</v>
      </c>
      <c r="C344" s="46"/>
      <c r="D344" s="46"/>
      <c r="E344" s="46"/>
      <c r="F344" s="46"/>
      <c r="G344" s="46"/>
      <c r="H344" s="46"/>
      <c r="I344" s="46"/>
      <c r="J344" s="46"/>
      <c r="K344" s="46"/>
      <c r="L344" s="46"/>
      <c r="M344" s="46"/>
      <c r="N344" s="46"/>
      <c r="O344" s="46"/>
      <c r="P344" s="46"/>
      <c r="Q344" s="46"/>
      <c r="R344" s="46"/>
      <c r="S344" s="46"/>
      <c r="T344" s="46"/>
      <c r="U344" s="46"/>
    </row>
    <row r="345" spans="1:21">
      <c r="A345" s="338" t="s">
        <v>13</v>
      </c>
      <c r="B345" s="46" t="s">
        <v>14</v>
      </c>
      <c r="C345" s="46"/>
      <c r="D345" s="46"/>
      <c r="E345" s="46"/>
      <c r="F345" s="46"/>
      <c r="G345" s="46"/>
      <c r="H345" s="46"/>
      <c r="I345" s="46"/>
      <c r="J345" s="46"/>
      <c r="K345" s="46"/>
      <c r="L345" s="46"/>
      <c r="M345" s="46"/>
      <c r="N345" s="46"/>
      <c r="O345" s="46"/>
      <c r="P345" s="46"/>
      <c r="Q345" s="46"/>
      <c r="R345" s="46"/>
      <c r="S345" s="46"/>
      <c r="T345" s="46"/>
      <c r="U345" s="46"/>
    </row>
    <row r="346" spans="1:21">
      <c r="A346" s="338" t="s">
        <v>15</v>
      </c>
      <c r="B346" s="407">
        <f>B351</f>
        <v>1.2E-2</v>
      </c>
      <c r="C346" s="46"/>
      <c r="D346" s="46"/>
      <c r="E346" s="46"/>
      <c r="F346" s="46"/>
      <c r="G346" s="46"/>
      <c r="H346" s="46"/>
      <c r="I346" s="46"/>
      <c r="J346" s="46"/>
      <c r="K346" s="46"/>
      <c r="L346" s="46"/>
      <c r="M346" s="46"/>
      <c r="N346" s="46"/>
      <c r="O346" s="46"/>
      <c r="P346" s="46"/>
      <c r="Q346" s="46"/>
      <c r="R346" s="46"/>
      <c r="S346" s="46"/>
      <c r="T346" s="46"/>
      <c r="U346" s="46"/>
    </row>
    <row r="347" spans="1:21">
      <c r="A347" s="338" t="s">
        <v>16</v>
      </c>
      <c r="B347" s="46" t="s">
        <v>17</v>
      </c>
      <c r="C347" s="46"/>
      <c r="D347" s="46"/>
      <c r="E347" s="46"/>
      <c r="F347" s="46"/>
      <c r="G347" s="46"/>
      <c r="H347" s="46"/>
      <c r="I347" s="46"/>
      <c r="J347" s="46"/>
      <c r="K347" s="46"/>
      <c r="L347" s="46"/>
      <c r="M347" s="46"/>
      <c r="N347" s="46"/>
      <c r="O347" s="46"/>
      <c r="P347" s="46"/>
      <c r="Q347" s="46"/>
      <c r="R347" s="46"/>
      <c r="S347" s="46"/>
      <c r="T347" s="46"/>
      <c r="U347" s="46"/>
    </row>
    <row r="348" spans="1:21">
      <c r="A348" s="338" t="s">
        <v>18</v>
      </c>
      <c r="B348" s="46" t="s">
        <v>113</v>
      </c>
      <c r="C348" s="46"/>
      <c r="D348" s="46"/>
      <c r="E348" s="46"/>
      <c r="F348" s="46"/>
      <c r="G348" s="46"/>
      <c r="H348" s="46"/>
      <c r="I348" s="46"/>
      <c r="J348" s="46"/>
      <c r="K348" s="46"/>
      <c r="L348" s="46"/>
      <c r="M348" s="46"/>
      <c r="N348" s="46"/>
      <c r="O348" s="46"/>
      <c r="P348" s="46"/>
      <c r="Q348" s="46"/>
      <c r="R348" s="46"/>
      <c r="S348" s="46"/>
      <c r="T348" s="46"/>
      <c r="U348" s="46"/>
    </row>
    <row r="349" spans="1:21">
      <c r="A349" s="335" t="s">
        <v>19</v>
      </c>
      <c r="B349" s="46"/>
      <c r="C349" s="46"/>
      <c r="D349" s="46"/>
      <c r="E349" s="46"/>
      <c r="F349" s="46"/>
      <c r="G349" s="46"/>
      <c r="H349" s="46"/>
      <c r="I349" s="46"/>
      <c r="J349" s="46"/>
      <c r="K349" s="46"/>
      <c r="L349" s="46"/>
      <c r="M349" s="46"/>
      <c r="N349" s="46"/>
      <c r="O349" s="46"/>
      <c r="P349" s="46"/>
      <c r="Q349" s="46"/>
      <c r="R349" s="46"/>
      <c r="S349" s="46"/>
      <c r="T349" s="46"/>
      <c r="U349" s="46"/>
    </row>
    <row r="350" spans="1:21">
      <c r="A350" s="336" t="s">
        <v>20</v>
      </c>
      <c r="B350" s="336" t="s">
        <v>21</v>
      </c>
      <c r="C350" s="336" t="s">
        <v>18</v>
      </c>
      <c r="D350" s="336" t="s">
        <v>22</v>
      </c>
      <c r="E350" s="336" t="s">
        <v>7</v>
      </c>
      <c r="F350" s="336" t="s">
        <v>13</v>
      </c>
      <c r="G350" s="336" t="s">
        <v>16</v>
      </c>
      <c r="H350" s="336" t="s">
        <v>23</v>
      </c>
      <c r="I350" s="336" t="s">
        <v>24</v>
      </c>
      <c r="J350" s="336" t="s">
        <v>25</v>
      </c>
      <c r="K350" s="336" t="s">
        <v>26</v>
      </c>
      <c r="L350" s="336" t="s">
        <v>27</v>
      </c>
      <c r="M350" s="336" t="s">
        <v>28</v>
      </c>
      <c r="N350" s="336" t="s">
        <v>11</v>
      </c>
      <c r="O350" s="46"/>
      <c r="P350" s="46"/>
      <c r="Q350" s="46"/>
      <c r="R350" s="46"/>
      <c r="S350" s="46"/>
      <c r="T350" s="407"/>
      <c r="U350" s="46"/>
    </row>
    <row r="351" spans="1:21">
      <c r="A351" s="62" t="s">
        <v>1208</v>
      </c>
      <c r="B351" s="407">
        <f>P351</f>
        <v>1.2E-2</v>
      </c>
      <c r="C351" s="46" t="s">
        <v>113</v>
      </c>
      <c r="D351" s="400" t="s">
        <v>2</v>
      </c>
      <c r="E351" s="46" t="s">
        <v>29</v>
      </c>
      <c r="F351" s="46" t="s">
        <v>14</v>
      </c>
      <c r="G351" s="46" t="s">
        <v>30</v>
      </c>
      <c r="H351" s="46">
        <v>1</v>
      </c>
      <c r="I351" s="407">
        <f>B351</f>
        <v>1.2E-2</v>
      </c>
      <c r="J351" s="46" t="s">
        <v>31</v>
      </c>
      <c r="K351" s="46" t="s">
        <v>31</v>
      </c>
      <c r="L351" s="46" t="s">
        <v>31</v>
      </c>
      <c r="M351" s="46" t="s">
        <v>31</v>
      </c>
      <c r="N351" s="46"/>
      <c r="O351" s="388" t="s">
        <v>817</v>
      </c>
      <c r="P351" s="461">
        <v>1.2E-2</v>
      </c>
      <c r="Q351" s="46"/>
      <c r="R351" s="46"/>
      <c r="S351" s="46"/>
      <c r="T351" s="46"/>
      <c r="U351" s="46"/>
    </row>
    <row r="352" spans="1:21">
      <c r="A352" s="47" t="s">
        <v>842</v>
      </c>
      <c r="B352" s="46">
        <f>P352</f>
        <v>0.02</v>
      </c>
      <c r="C352" s="46" t="s">
        <v>37</v>
      </c>
      <c r="D352" s="46" t="s">
        <v>40</v>
      </c>
      <c r="E352" s="46" t="s">
        <v>29</v>
      </c>
      <c r="F352" s="46" t="s">
        <v>128</v>
      </c>
      <c r="G352" s="46" t="s">
        <v>33</v>
      </c>
      <c r="H352" s="46">
        <v>2</v>
      </c>
      <c r="I352" s="46">
        <f t="shared" ref="I352:I362" si="30">LN(B352)</f>
        <v>-3.912023005428146</v>
      </c>
      <c r="J352" s="456">
        <v>0.22516660498395411</v>
      </c>
      <c r="K352" s="46" t="s">
        <v>31</v>
      </c>
      <c r="L352" s="46" t="s">
        <v>31</v>
      </c>
      <c r="M352" s="46" t="s">
        <v>31</v>
      </c>
      <c r="N352" s="46"/>
      <c r="O352" s="393" t="s">
        <v>221</v>
      </c>
      <c r="P352" s="406">
        <v>0.02</v>
      </c>
      <c r="Q352" s="46"/>
      <c r="R352" s="46"/>
      <c r="S352" s="46"/>
      <c r="T352" s="46"/>
      <c r="U352" s="46"/>
    </row>
    <row r="353" spans="1:21">
      <c r="A353" s="338" t="s">
        <v>75</v>
      </c>
      <c r="B353" s="342">
        <f>P353</f>
        <v>0.25</v>
      </c>
      <c r="C353" s="46" t="s">
        <v>39</v>
      </c>
      <c r="D353" s="46" t="s">
        <v>40</v>
      </c>
      <c r="E353" s="46" t="s">
        <v>29</v>
      </c>
      <c r="F353" s="32" t="s">
        <v>35</v>
      </c>
      <c r="G353" s="46" t="s">
        <v>33</v>
      </c>
      <c r="H353" s="46">
        <v>2</v>
      </c>
      <c r="I353" s="46">
        <f t="shared" si="30"/>
        <v>-1.3862943611198906</v>
      </c>
      <c r="J353" s="456">
        <v>0.22516660498395411</v>
      </c>
      <c r="K353" s="46" t="s">
        <v>31</v>
      </c>
      <c r="L353" s="46" t="s">
        <v>31</v>
      </c>
      <c r="M353" s="46" t="s">
        <v>31</v>
      </c>
      <c r="N353" s="46"/>
      <c r="O353" s="393" t="s">
        <v>216</v>
      </c>
      <c r="P353" s="406">
        <v>0.25</v>
      </c>
      <c r="Q353" s="46"/>
      <c r="R353" s="46"/>
      <c r="S353" s="46"/>
      <c r="T353" s="46"/>
      <c r="U353" s="46"/>
    </row>
    <row r="354" spans="1:21">
      <c r="A354" s="47" t="s">
        <v>958</v>
      </c>
      <c r="B354" s="407">
        <f>R354</f>
        <v>4.2000000000000002E-4</v>
      </c>
      <c r="C354" s="46" t="s">
        <v>37</v>
      </c>
      <c r="D354" s="46" t="s">
        <v>40</v>
      </c>
      <c r="E354" s="46" t="s">
        <v>29</v>
      </c>
      <c r="F354" s="46" t="s">
        <v>35</v>
      </c>
      <c r="G354" s="46" t="s">
        <v>33</v>
      </c>
      <c r="H354" s="46">
        <v>2</v>
      </c>
      <c r="I354" s="46">
        <f t="shared" si="30"/>
        <v>-7.7752558466868598</v>
      </c>
      <c r="J354" s="456">
        <v>0.22516660498395411</v>
      </c>
      <c r="K354" s="46" t="s">
        <v>31</v>
      </c>
      <c r="L354" s="46" t="s">
        <v>31</v>
      </c>
      <c r="M354" s="46" t="s">
        <v>31</v>
      </c>
      <c r="N354" s="46"/>
      <c r="O354" s="393" t="s">
        <v>575</v>
      </c>
      <c r="P354" s="444">
        <v>0.42</v>
      </c>
      <c r="Q354" s="46" t="s">
        <v>221</v>
      </c>
      <c r="R354" s="407">
        <f>0.001*P354</f>
        <v>4.2000000000000002E-4</v>
      </c>
      <c r="S354" s="46"/>
      <c r="T354" s="46"/>
      <c r="U354" s="46"/>
    </row>
    <row r="355" spans="1:21">
      <c r="A355" s="47" t="s">
        <v>959</v>
      </c>
      <c r="B355" s="407">
        <f>P355</f>
        <v>2E-3</v>
      </c>
      <c r="C355" s="46" t="s">
        <v>37</v>
      </c>
      <c r="D355" s="46" t="s">
        <v>40</v>
      </c>
      <c r="E355" s="46" t="s">
        <v>29</v>
      </c>
      <c r="F355" s="46" t="s">
        <v>35</v>
      </c>
      <c r="G355" s="46" t="s">
        <v>33</v>
      </c>
      <c r="H355" s="46">
        <v>2</v>
      </c>
      <c r="I355" s="46">
        <f t="shared" si="30"/>
        <v>-6.2146080984221914</v>
      </c>
      <c r="J355" s="456">
        <v>0.22516660498395411</v>
      </c>
      <c r="K355" s="46" t="s">
        <v>31</v>
      </c>
      <c r="L355" s="46" t="s">
        <v>31</v>
      </c>
      <c r="M355" s="46" t="s">
        <v>31</v>
      </c>
      <c r="N355" s="46"/>
      <c r="O355" s="393" t="s">
        <v>221</v>
      </c>
      <c r="P355" s="444">
        <v>2E-3</v>
      </c>
      <c r="Q355" s="46"/>
      <c r="R355" s="46"/>
      <c r="S355" s="46"/>
      <c r="T355" s="46"/>
      <c r="U355" s="46"/>
    </row>
    <row r="356" spans="1:21">
      <c r="A356" s="47" t="s">
        <v>960</v>
      </c>
      <c r="B356" s="407">
        <f>P356</f>
        <v>1.6999999999999999E-3</v>
      </c>
      <c r="C356" s="46" t="s">
        <v>37</v>
      </c>
      <c r="D356" s="46" t="s">
        <v>40</v>
      </c>
      <c r="E356" s="46" t="s">
        <v>29</v>
      </c>
      <c r="F356" s="46" t="s">
        <v>35</v>
      </c>
      <c r="G356" s="46" t="s">
        <v>33</v>
      </c>
      <c r="H356" s="46">
        <v>2</v>
      </c>
      <c r="I356" s="46">
        <f t="shared" si="30"/>
        <v>-6.3771270279199666</v>
      </c>
      <c r="J356" s="456">
        <v>0.22516660498395411</v>
      </c>
      <c r="K356" s="46" t="s">
        <v>31</v>
      </c>
      <c r="L356" s="46" t="s">
        <v>31</v>
      </c>
      <c r="M356" s="46" t="s">
        <v>31</v>
      </c>
      <c r="N356" s="46"/>
      <c r="O356" s="393" t="s">
        <v>221</v>
      </c>
      <c r="P356" s="444">
        <v>1.6999999999999999E-3</v>
      </c>
      <c r="Q356" s="46"/>
      <c r="R356" s="46"/>
      <c r="S356" s="46"/>
      <c r="T356" s="46"/>
      <c r="U356" s="46"/>
    </row>
    <row r="357" spans="1:21">
      <c r="A357" s="47" t="s">
        <v>961</v>
      </c>
      <c r="B357" s="407">
        <f>P357</f>
        <v>1.4999999999999999E-2</v>
      </c>
      <c r="C357" s="46" t="s">
        <v>37</v>
      </c>
      <c r="D357" s="46" t="s">
        <v>40</v>
      </c>
      <c r="E357" s="46" t="s">
        <v>29</v>
      </c>
      <c r="F357" s="46" t="s">
        <v>35</v>
      </c>
      <c r="G357" s="46" t="s">
        <v>33</v>
      </c>
      <c r="H357" s="46">
        <v>2</v>
      </c>
      <c r="I357" s="46">
        <f t="shared" si="30"/>
        <v>-4.1997050778799272</v>
      </c>
      <c r="J357" s="456">
        <v>0.22516660498395411</v>
      </c>
      <c r="K357" s="46" t="s">
        <v>31</v>
      </c>
      <c r="L357" s="46" t="s">
        <v>31</v>
      </c>
      <c r="M357" s="46" t="s">
        <v>31</v>
      </c>
      <c r="N357" s="46"/>
      <c r="O357" s="393" t="s">
        <v>221</v>
      </c>
      <c r="P357" s="406">
        <v>1.4999999999999999E-2</v>
      </c>
      <c r="Q357" s="46"/>
      <c r="R357" s="46"/>
      <c r="S357" s="46"/>
      <c r="T357" s="46"/>
      <c r="U357" s="46"/>
    </row>
    <row r="358" spans="1:21">
      <c r="A358" s="47" t="s">
        <v>962</v>
      </c>
      <c r="B358" s="407">
        <f>R358</f>
        <v>8.3000000000000012E-5</v>
      </c>
      <c r="C358" s="46" t="s">
        <v>37</v>
      </c>
      <c r="D358" s="46" t="s">
        <v>43</v>
      </c>
      <c r="E358" s="46" t="s">
        <v>44</v>
      </c>
      <c r="F358" s="46" t="s">
        <v>29</v>
      </c>
      <c r="G358" s="46" t="s">
        <v>45</v>
      </c>
      <c r="H358" s="46">
        <v>2</v>
      </c>
      <c r="I358" s="46">
        <f t="shared" si="30"/>
        <v>-9.3966699501676754</v>
      </c>
      <c r="J358" s="456">
        <v>0.10344080432788608</v>
      </c>
      <c r="K358" s="46" t="s">
        <v>31</v>
      </c>
      <c r="L358" s="46" t="s">
        <v>31</v>
      </c>
      <c r="M358" s="46" t="s">
        <v>31</v>
      </c>
      <c r="N358" s="46"/>
      <c r="O358" s="408" t="s">
        <v>575</v>
      </c>
      <c r="P358" s="409">
        <v>8.3000000000000004E-2</v>
      </c>
      <c r="Q358" s="46" t="s">
        <v>221</v>
      </c>
      <c r="R358" s="407">
        <f>0.001*P358</f>
        <v>8.3000000000000012E-5</v>
      </c>
      <c r="S358" s="46"/>
      <c r="T358" s="46"/>
      <c r="U358" s="46"/>
    </row>
    <row r="359" spans="1:21">
      <c r="A359" s="47" t="s">
        <v>229</v>
      </c>
      <c r="B359" s="407">
        <f t="shared" ref="B359:B361" si="31">R359</f>
        <v>9.2000000000000003E-4</v>
      </c>
      <c r="C359" s="46" t="s">
        <v>37</v>
      </c>
      <c r="D359" s="46" t="s">
        <v>43</v>
      </c>
      <c r="E359" s="46" t="s">
        <v>44</v>
      </c>
      <c r="F359" s="46" t="s">
        <v>29</v>
      </c>
      <c r="G359" s="46" t="s">
        <v>45</v>
      </c>
      <c r="H359" s="46">
        <v>2</v>
      </c>
      <c r="I359" s="46">
        <f t="shared" si="30"/>
        <v>-6.9911368879211881</v>
      </c>
      <c r="J359" s="456">
        <v>0.10344080432788608</v>
      </c>
      <c r="K359" s="46" t="s">
        <v>31</v>
      </c>
      <c r="L359" s="46" t="s">
        <v>31</v>
      </c>
      <c r="M359" s="46" t="s">
        <v>31</v>
      </c>
      <c r="N359" s="46"/>
      <c r="O359" s="408" t="s">
        <v>575</v>
      </c>
      <c r="P359" s="409">
        <v>0.92</v>
      </c>
      <c r="Q359" s="46" t="s">
        <v>221</v>
      </c>
      <c r="R359" s="407">
        <f>0.001*P359</f>
        <v>9.2000000000000003E-4</v>
      </c>
      <c r="S359" s="46"/>
      <c r="T359" s="46"/>
      <c r="U359" s="46"/>
    </row>
    <row r="360" spans="1:21">
      <c r="A360" s="47" t="s">
        <v>963</v>
      </c>
      <c r="B360" s="407">
        <f t="shared" si="31"/>
        <v>5.8E-4</v>
      </c>
      <c r="C360" s="46" t="s">
        <v>37</v>
      </c>
      <c r="D360" s="46" t="s">
        <v>43</v>
      </c>
      <c r="E360" s="46" t="s">
        <v>44</v>
      </c>
      <c r="F360" s="46" t="s">
        <v>29</v>
      </c>
      <c r="G360" s="46" t="s">
        <v>45</v>
      </c>
      <c r="H360" s="46">
        <v>2</v>
      </c>
      <c r="I360" s="46">
        <f t="shared" si="30"/>
        <v>-7.4524824544238095</v>
      </c>
      <c r="J360" s="456">
        <v>0.10344080432788608</v>
      </c>
      <c r="K360" s="46" t="s">
        <v>31</v>
      </c>
      <c r="L360" s="46" t="s">
        <v>31</v>
      </c>
      <c r="M360" s="46" t="s">
        <v>31</v>
      </c>
      <c r="N360" s="46"/>
      <c r="O360" s="408" t="s">
        <v>575</v>
      </c>
      <c r="P360" s="409">
        <v>0.57999999999999996</v>
      </c>
      <c r="Q360" s="46" t="s">
        <v>221</v>
      </c>
      <c r="R360" s="407">
        <f>0.001*P360</f>
        <v>5.8E-4</v>
      </c>
      <c r="S360" s="46"/>
      <c r="T360" s="46"/>
      <c r="U360" s="46"/>
    </row>
    <row r="361" spans="1:21">
      <c r="A361" s="47" t="s">
        <v>760</v>
      </c>
      <c r="B361" s="407">
        <f t="shared" si="31"/>
        <v>3.3E-4</v>
      </c>
      <c r="C361" s="46" t="s">
        <v>37</v>
      </c>
      <c r="D361" s="46" t="s">
        <v>43</v>
      </c>
      <c r="E361" s="46" t="s">
        <v>44</v>
      </c>
      <c r="F361" s="46" t="s">
        <v>29</v>
      </c>
      <c r="G361" s="46" t="s">
        <v>45</v>
      </c>
      <c r="H361" s="46">
        <v>2</v>
      </c>
      <c r="I361" s="46">
        <f t="shared" si="30"/>
        <v>-8.0164179035037488</v>
      </c>
      <c r="J361" s="456">
        <v>0.10344080432788608</v>
      </c>
      <c r="K361" s="46" t="s">
        <v>31</v>
      </c>
      <c r="L361" s="46" t="s">
        <v>31</v>
      </c>
      <c r="M361" s="46" t="s">
        <v>31</v>
      </c>
      <c r="N361" s="46"/>
      <c r="O361" s="408" t="s">
        <v>575</v>
      </c>
      <c r="P361" s="409">
        <v>0.33</v>
      </c>
      <c r="Q361" s="46" t="s">
        <v>221</v>
      </c>
      <c r="R361" s="407">
        <f>0.001*P361</f>
        <v>3.3E-4</v>
      </c>
      <c r="S361" s="46"/>
      <c r="T361" s="46"/>
      <c r="U361" s="46"/>
    </row>
    <row r="362" spans="1:21">
      <c r="A362" s="46" t="s">
        <v>783</v>
      </c>
      <c r="B362" s="407">
        <f>P362</f>
        <v>4.4999999999999997E-3</v>
      </c>
      <c r="C362" s="46" t="s">
        <v>37</v>
      </c>
      <c r="D362" s="400" t="s">
        <v>2</v>
      </c>
      <c r="E362" s="46" t="s">
        <v>29</v>
      </c>
      <c r="F362" s="32" t="s">
        <v>741</v>
      </c>
      <c r="G362" s="46" t="s">
        <v>33</v>
      </c>
      <c r="H362" s="46">
        <v>2</v>
      </c>
      <c r="I362" s="46">
        <f t="shared" si="30"/>
        <v>-5.4036778822058631</v>
      </c>
      <c r="J362" s="46">
        <v>0.11269427669584645</v>
      </c>
      <c r="K362" s="46" t="s">
        <v>31</v>
      </c>
      <c r="L362" s="46" t="s">
        <v>31</v>
      </c>
      <c r="M362" s="46" t="s">
        <v>31</v>
      </c>
      <c r="N362" s="46"/>
      <c r="O362" s="410" t="s">
        <v>221</v>
      </c>
      <c r="P362" s="445">
        <v>4.4999999999999997E-3</v>
      </c>
      <c r="Q362" s="46"/>
      <c r="R362" s="46"/>
      <c r="S362" s="46"/>
      <c r="T362" s="46"/>
      <c r="U362" s="46"/>
    </row>
    <row r="363" spans="1:21">
      <c r="P363" s="184"/>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9F14A-20BD-40BF-83C7-42D9CF23E384}">
  <sheetPr>
    <tabColor theme="6" tint="0.79998168889431442"/>
  </sheetPr>
  <dimension ref="A1:AC57"/>
  <sheetViews>
    <sheetView topLeftCell="B1" workbookViewId="0">
      <selection activeCell="I13" sqref="I13:I30"/>
    </sheetView>
  </sheetViews>
  <sheetFormatPr defaultRowHeight="12.75"/>
  <cols>
    <col min="1" max="1" width="109.5703125" style="46" customWidth="1"/>
    <col min="2" max="2" width="62" style="46" bestFit="1" customWidth="1"/>
    <col min="3" max="3" width="13.28515625" style="46" bestFit="1" customWidth="1"/>
    <col min="4" max="4" width="37.140625" style="46" bestFit="1" customWidth="1"/>
    <col min="5" max="5" width="11" style="46" bestFit="1" customWidth="1"/>
    <col min="6" max="6" width="23.85546875" style="46" bestFit="1" customWidth="1"/>
    <col min="7" max="7" width="13.42578125" style="46" bestFit="1" customWidth="1"/>
    <col min="8" max="8" width="17.7109375" style="46" bestFit="1" customWidth="1"/>
    <col min="9" max="9" width="7" style="46" bestFit="1" customWidth="1"/>
    <col min="10" max="10" width="12" style="46" bestFit="1" customWidth="1"/>
    <col min="11" max="13" width="10.85546875" style="46" bestFit="1" customWidth="1"/>
    <col min="14" max="23" width="9.140625" style="46"/>
    <col min="24" max="24" width="0" style="46" hidden="1" customWidth="1"/>
    <col min="25" max="16384" width="9.140625" style="46"/>
  </cols>
  <sheetData>
    <row r="1" spans="1:26">
      <c r="A1" s="46" t="s">
        <v>0</v>
      </c>
      <c r="B1" s="46">
        <v>13</v>
      </c>
      <c r="N1" s="46" t="str">
        <f ca="1">UPPER(CONCATENATE(DEC2HEX(RANDBETWEEN(0,POWER(16,8)),8),DEC2HEX(RANDBETWEEN(0,POWER(16,4)),4),"4",DEC2HEX(RANDBETWEEN(0,POWER(16,3)),3),DEC2HEX(RANDBETWEEN(8,11)),DEC2HEX(RANDBETWEEN(0,POWER(16,3)),3),DEC2HEX(RANDBETWEEN(0,POWER(16,8)),8),DEC2HEX(RANDBETWEEN(0,POWER(16,4)),4)))</f>
        <v>D67442FE490B4C91BCCB5B20B16D812E</v>
      </c>
    </row>
    <row r="2" spans="1:26">
      <c r="A2" s="362" t="s">
        <v>5</v>
      </c>
      <c r="B2" s="363" t="s">
        <v>775</v>
      </c>
      <c r="C2" s="364"/>
      <c r="D2" s="345"/>
      <c r="E2" s="345"/>
      <c r="F2" s="345"/>
      <c r="G2" s="345"/>
      <c r="H2" s="345"/>
      <c r="I2" s="345"/>
      <c r="J2" s="345"/>
      <c r="K2" s="345"/>
      <c r="L2" s="345"/>
      <c r="M2" s="345"/>
    </row>
    <row r="3" spans="1:26">
      <c r="A3" s="338" t="s">
        <v>7</v>
      </c>
      <c r="B3" s="46" t="s">
        <v>779</v>
      </c>
      <c r="C3" s="337"/>
    </row>
    <row r="4" spans="1:26">
      <c r="A4" s="338" t="s">
        <v>9</v>
      </c>
      <c r="B4" s="46" t="s">
        <v>1210</v>
      </c>
      <c r="C4" s="337"/>
    </row>
    <row r="5" spans="1:26" ht="25.5">
      <c r="A5" s="338" t="s">
        <v>11</v>
      </c>
      <c r="B5" s="339" t="s">
        <v>828</v>
      </c>
    </row>
    <row r="6" spans="1:26">
      <c r="A6" s="338" t="s">
        <v>13</v>
      </c>
      <c r="B6" s="46" t="s">
        <v>14</v>
      </c>
    </row>
    <row r="7" spans="1:26">
      <c r="A7" s="338" t="s">
        <v>15</v>
      </c>
      <c r="B7" s="46">
        <v>1</v>
      </c>
    </row>
    <row r="8" spans="1:26">
      <c r="A8" s="338" t="s">
        <v>16</v>
      </c>
      <c r="B8" s="46" t="s">
        <v>17</v>
      </c>
    </row>
    <row r="9" spans="1:26">
      <c r="A9" s="338" t="s">
        <v>18</v>
      </c>
      <c r="B9" s="46" t="s">
        <v>18</v>
      </c>
    </row>
    <row r="10" spans="1:26">
      <c r="A10" s="335" t="s">
        <v>19</v>
      </c>
    </row>
    <row r="11" spans="1:26">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row>
    <row r="12" spans="1:26">
      <c r="A12" s="363" t="s">
        <v>775</v>
      </c>
      <c r="B12" s="46">
        <v>1</v>
      </c>
      <c r="C12" s="46" t="s">
        <v>18</v>
      </c>
      <c r="D12" s="46" t="s">
        <v>2</v>
      </c>
      <c r="E12" s="46" t="s">
        <v>29</v>
      </c>
      <c r="F12" s="32" t="s">
        <v>14</v>
      </c>
      <c r="G12" s="46" t="s">
        <v>30</v>
      </c>
      <c r="H12" s="46">
        <v>1</v>
      </c>
      <c r="I12" s="46">
        <v>1</v>
      </c>
      <c r="J12" s="46" t="s">
        <v>31</v>
      </c>
      <c r="K12" s="46" t="s">
        <v>31</v>
      </c>
      <c r="L12" s="46" t="s">
        <v>31</v>
      </c>
      <c r="M12" s="46" t="s">
        <v>31</v>
      </c>
    </row>
    <row r="13" spans="1:26">
      <c r="A13" s="387" t="s">
        <v>787</v>
      </c>
      <c r="B13" s="46">
        <f>Z13</f>
        <v>7.8E-2</v>
      </c>
      <c r="C13" s="46" t="s">
        <v>37</v>
      </c>
      <c r="D13" s="46" t="s">
        <v>2</v>
      </c>
      <c r="E13" s="46" t="s">
        <v>29</v>
      </c>
      <c r="F13" s="32" t="s">
        <v>14</v>
      </c>
      <c r="G13" s="46" t="s">
        <v>33</v>
      </c>
      <c r="H13" s="46">
        <v>1</v>
      </c>
      <c r="I13" s="46">
        <f>B13</f>
        <v>7.8E-2</v>
      </c>
      <c r="J13" s="46" t="s">
        <v>31</v>
      </c>
      <c r="K13" s="46" t="s">
        <v>31</v>
      </c>
      <c r="L13" s="46" t="s">
        <v>31</v>
      </c>
      <c r="M13" s="46" t="s">
        <v>31</v>
      </c>
      <c r="U13" s="388" t="s">
        <v>965</v>
      </c>
      <c r="V13" s="388" t="s">
        <v>575</v>
      </c>
      <c r="W13" s="389">
        <v>78</v>
      </c>
      <c r="Y13" s="46" t="s">
        <v>221</v>
      </c>
      <c r="Z13" s="46">
        <f>0.001*W13</f>
        <v>7.8E-2</v>
      </c>
    </row>
    <row r="14" spans="1:26">
      <c r="A14" s="387" t="s">
        <v>813</v>
      </c>
      <c r="B14" s="46">
        <f t="shared" ref="B14:B27" si="0">Z14</f>
        <v>9.8000000000000004E-2</v>
      </c>
      <c r="C14" s="46" t="s">
        <v>37</v>
      </c>
      <c r="D14" s="46" t="s">
        <v>2</v>
      </c>
      <c r="E14" s="46" t="s">
        <v>29</v>
      </c>
      <c r="F14" s="32" t="s">
        <v>14</v>
      </c>
      <c r="G14" s="46" t="s">
        <v>33</v>
      </c>
      <c r="H14" s="46">
        <v>1</v>
      </c>
      <c r="I14" s="46">
        <f t="shared" ref="I14:I30" si="1">B14</f>
        <v>9.8000000000000004E-2</v>
      </c>
      <c r="J14" s="46" t="s">
        <v>31</v>
      </c>
      <c r="K14" s="46" t="s">
        <v>31</v>
      </c>
      <c r="L14" s="46" t="s">
        <v>31</v>
      </c>
      <c r="M14" s="46" t="s">
        <v>31</v>
      </c>
      <c r="U14" s="388" t="s">
        <v>966</v>
      </c>
      <c r="V14" s="388" t="s">
        <v>575</v>
      </c>
      <c r="W14" s="389">
        <v>98</v>
      </c>
      <c r="Y14" s="46" t="s">
        <v>221</v>
      </c>
      <c r="Z14" s="46">
        <f>0.001*W14</f>
        <v>9.8000000000000004E-2</v>
      </c>
    </row>
    <row r="15" spans="1:26">
      <c r="A15" s="138" t="s">
        <v>829</v>
      </c>
      <c r="B15" s="46">
        <f t="shared" si="0"/>
        <v>3.15</v>
      </c>
      <c r="C15" s="46" t="s">
        <v>37</v>
      </c>
      <c r="D15" s="46" t="s">
        <v>40</v>
      </c>
      <c r="E15" s="46" t="s">
        <v>29</v>
      </c>
      <c r="F15" s="32" t="s">
        <v>58</v>
      </c>
      <c r="G15" s="46" t="s">
        <v>33</v>
      </c>
      <c r="H15" s="46">
        <v>1</v>
      </c>
      <c r="I15" s="46">
        <f t="shared" si="1"/>
        <v>3.15</v>
      </c>
      <c r="J15" s="46" t="s">
        <v>31</v>
      </c>
      <c r="K15" s="46" t="s">
        <v>31</v>
      </c>
      <c r="L15" s="46" t="s">
        <v>31</v>
      </c>
      <c r="M15" s="46" t="s">
        <v>31</v>
      </c>
      <c r="U15" s="388" t="s">
        <v>967</v>
      </c>
      <c r="V15" s="388" t="s">
        <v>221</v>
      </c>
      <c r="W15" s="389">
        <v>3.15</v>
      </c>
      <c r="Y15" s="46" t="s">
        <v>221</v>
      </c>
      <c r="Z15" s="46">
        <f>W15</f>
        <v>3.15</v>
      </c>
    </row>
    <row r="16" spans="1:26">
      <c r="A16" s="387" t="s">
        <v>1211</v>
      </c>
      <c r="B16" s="46">
        <f t="shared" si="0"/>
        <v>4.2</v>
      </c>
      <c r="C16" s="46" t="s">
        <v>37</v>
      </c>
      <c r="D16" s="46" t="s">
        <v>2</v>
      </c>
      <c r="E16" s="46" t="s">
        <v>29</v>
      </c>
      <c r="F16" s="32" t="s">
        <v>14</v>
      </c>
      <c r="G16" s="46" t="s">
        <v>33</v>
      </c>
      <c r="H16" s="46">
        <v>1</v>
      </c>
      <c r="I16" s="46">
        <f t="shared" si="1"/>
        <v>4.2</v>
      </c>
      <c r="J16" s="46" t="s">
        <v>31</v>
      </c>
      <c r="K16" s="46" t="s">
        <v>31</v>
      </c>
      <c r="L16" s="46" t="s">
        <v>31</v>
      </c>
      <c r="M16" s="46" t="s">
        <v>31</v>
      </c>
      <c r="U16" s="388" t="s">
        <v>969</v>
      </c>
      <c r="V16" s="388" t="s">
        <v>221</v>
      </c>
      <c r="W16" s="389">
        <v>4.2</v>
      </c>
      <c r="Y16" s="46" t="s">
        <v>221</v>
      </c>
      <c r="Z16" s="46">
        <f>W16</f>
        <v>4.2</v>
      </c>
    </row>
    <row r="17" spans="1:29">
      <c r="A17" s="139" t="s">
        <v>1212</v>
      </c>
      <c r="B17" s="46">
        <f t="shared" si="0"/>
        <v>3.9516129032258068E-2</v>
      </c>
      <c r="C17" s="46" t="s">
        <v>113</v>
      </c>
      <c r="D17" s="46" t="s">
        <v>2</v>
      </c>
      <c r="E17" s="46" t="s">
        <v>29</v>
      </c>
      <c r="F17" s="32" t="s">
        <v>14</v>
      </c>
      <c r="G17" s="46" t="s">
        <v>33</v>
      </c>
      <c r="H17" s="46">
        <v>1</v>
      </c>
      <c r="I17" s="46">
        <f t="shared" si="1"/>
        <v>3.9516129032258068E-2</v>
      </c>
      <c r="J17" s="46" t="s">
        <v>31</v>
      </c>
      <c r="K17" s="46" t="s">
        <v>31</v>
      </c>
      <c r="L17" s="46" t="s">
        <v>31</v>
      </c>
      <c r="M17" s="46" t="s">
        <v>31</v>
      </c>
      <c r="O17" s="46" t="s">
        <v>971</v>
      </c>
      <c r="U17" s="451" t="s">
        <v>972</v>
      </c>
      <c r="V17" s="451" t="s">
        <v>575</v>
      </c>
      <c r="W17" s="389">
        <v>245</v>
      </c>
      <c r="Y17" s="46" t="s">
        <v>605</v>
      </c>
      <c r="Z17" s="46">
        <f>W17*0.001*AB17</f>
        <v>3.9516129032258068E-2</v>
      </c>
      <c r="AB17" s="46">
        <f>'2E. Reusable'!O36</f>
        <v>0.16129032258064518</v>
      </c>
      <c r="AC17" s="46" t="s">
        <v>832</v>
      </c>
    </row>
    <row r="18" spans="1:29">
      <c r="A18" s="387" t="s">
        <v>1213</v>
      </c>
      <c r="B18" s="46">
        <f t="shared" si="0"/>
        <v>0.40500000000000003</v>
      </c>
      <c r="C18" s="46" t="s">
        <v>37</v>
      </c>
      <c r="D18" s="46" t="s">
        <v>2</v>
      </c>
      <c r="E18" s="46" t="s">
        <v>29</v>
      </c>
      <c r="F18" s="32" t="s">
        <v>14</v>
      </c>
      <c r="G18" s="46" t="s">
        <v>33</v>
      </c>
      <c r="H18" s="46">
        <v>1</v>
      </c>
      <c r="I18" s="46">
        <f t="shared" si="1"/>
        <v>0.40500000000000003</v>
      </c>
      <c r="J18" s="46" t="s">
        <v>31</v>
      </c>
      <c r="K18" s="46" t="s">
        <v>31</v>
      </c>
      <c r="L18" s="46" t="s">
        <v>31</v>
      </c>
      <c r="M18" s="46" t="s">
        <v>31</v>
      </c>
      <c r="U18" s="451" t="s">
        <v>974</v>
      </c>
      <c r="V18" s="388" t="s">
        <v>575</v>
      </c>
      <c r="W18" s="389">
        <v>405</v>
      </c>
      <c r="Y18" s="46" t="s">
        <v>221</v>
      </c>
      <c r="Z18" s="46">
        <f>0.001*W18</f>
        <v>0.40500000000000003</v>
      </c>
    </row>
    <row r="19" spans="1:29">
      <c r="A19" s="141" t="s">
        <v>834</v>
      </c>
      <c r="B19" s="46">
        <f t="shared" si="0"/>
        <v>2E-3</v>
      </c>
      <c r="C19" s="46" t="s">
        <v>37</v>
      </c>
      <c r="D19" s="46" t="s">
        <v>40</v>
      </c>
      <c r="E19" s="46" t="s">
        <v>29</v>
      </c>
      <c r="F19" s="32" t="s">
        <v>35</v>
      </c>
      <c r="G19" s="46" t="s">
        <v>33</v>
      </c>
      <c r="H19" s="46">
        <v>1</v>
      </c>
      <c r="I19" s="46">
        <f t="shared" si="1"/>
        <v>2E-3</v>
      </c>
      <c r="J19" s="46" t="s">
        <v>31</v>
      </c>
      <c r="K19" s="46" t="s">
        <v>31</v>
      </c>
      <c r="L19" s="46" t="s">
        <v>31</v>
      </c>
      <c r="M19" s="46" t="s">
        <v>31</v>
      </c>
      <c r="N19" s="338" t="s">
        <v>835</v>
      </c>
      <c r="U19" s="388" t="s">
        <v>835</v>
      </c>
      <c r="V19" s="388" t="s">
        <v>575</v>
      </c>
      <c r="W19" s="389">
        <v>2</v>
      </c>
      <c r="Y19" s="46" t="s">
        <v>221</v>
      </c>
      <c r="Z19" s="46">
        <f>0.001*W19</f>
        <v>2E-3</v>
      </c>
    </row>
    <row r="20" spans="1:29">
      <c r="A20" s="142" t="s">
        <v>601</v>
      </c>
      <c r="B20" s="46">
        <f t="shared" si="0"/>
        <v>1.3000000000000001E-2</v>
      </c>
      <c r="C20" s="46" t="s">
        <v>37</v>
      </c>
      <c r="D20" s="46" t="s">
        <v>40</v>
      </c>
      <c r="E20" s="46" t="s">
        <v>29</v>
      </c>
      <c r="F20" s="32" t="s">
        <v>35</v>
      </c>
      <c r="G20" s="46" t="s">
        <v>33</v>
      </c>
      <c r="H20" s="46">
        <v>1</v>
      </c>
      <c r="I20" s="46">
        <f t="shared" si="1"/>
        <v>1.3000000000000001E-2</v>
      </c>
      <c r="J20" s="46" t="s">
        <v>31</v>
      </c>
      <c r="K20" s="46" t="s">
        <v>31</v>
      </c>
      <c r="L20" s="46" t="s">
        <v>31</v>
      </c>
      <c r="M20" s="46" t="s">
        <v>31</v>
      </c>
      <c r="N20" s="338" t="s">
        <v>836</v>
      </c>
      <c r="U20" s="451" t="s">
        <v>836</v>
      </c>
      <c r="V20" s="388" t="s">
        <v>575</v>
      </c>
      <c r="W20" s="389">
        <v>13</v>
      </c>
      <c r="Y20" s="46" t="s">
        <v>221</v>
      </c>
      <c r="Z20" s="46">
        <f t="shared" ref="Z20:Z22" si="2">0.001*W20</f>
        <v>1.3000000000000001E-2</v>
      </c>
    </row>
    <row r="21" spans="1:29">
      <c r="A21" s="141" t="s">
        <v>834</v>
      </c>
      <c r="B21" s="46">
        <f t="shared" si="0"/>
        <v>2E-3</v>
      </c>
      <c r="C21" s="46" t="s">
        <v>37</v>
      </c>
      <c r="D21" s="46" t="s">
        <v>40</v>
      </c>
      <c r="E21" s="46" t="s">
        <v>29</v>
      </c>
      <c r="F21" s="32" t="s">
        <v>35</v>
      </c>
      <c r="G21" s="46" t="s">
        <v>33</v>
      </c>
      <c r="H21" s="46">
        <v>1</v>
      </c>
      <c r="I21" s="46">
        <f t="shared" si="1"/>
        <v>2E-3</v>
      </c>
      <c r="J21" s="46" t="s">
        <v>31</v>
      </c>
      <c r="K21" s="46" t="s">
        <v>31</v>
      </c>
      <c r="L21" s="46" t="s">
        <v>31</v>
      </c>
      <c r="M21" s="46" t="s">
        <v>31</v>
      </c>
      <c r="N21" s="338" t="s">
        <v>837</v>
      </c>
      <c r="U21" s="451" t="s">
        <v>837</v>
      </c>
      <c r="V21" s="388" t="s">
        <v>575</v>
      </c>
      <c r="W21" s="389">
        <v>2</v>
      </c>
      <c r="Y21" s="46" t="s">
        <v>221</v>
      </c>
      <c r="Z21" s="46">
        <f t="shared" si="2"/>
        <v>2E-3</v>
      </c>
    </row>
    <row r="22" spans="1:29">
      <c r="A22" s="142" t="s">
        <v>975</v>
      </c>
      <c r="B22" s="46">
        <f t="shared" si="0"/>
        <v>2E-3</v>
      </c>
      <c r="C22" s="46" t="s">
        <v>37</v>
      </c>
      <c r="D22" s="46" t="s">
        <v>40</v>
      </c>
      <c r="E22" s="46" t="s">
        <v>29</v>
      </c>
      <c r="F22" s="32" t="s">
        <v>35</v>
      </c>
      <c r="G22" s="46" t="s">
        <v>33</v>
      </c>
      <c r="H22" s="46">
        <v>1</v>
      </c>
      <c r="I22" s="46">
        <f t="shared" si="1"/>
        <v>2E-3</v>
      </c>
      <c r="J22" s="46" t="s">
        <v>31</v>
      </c>
      <c r="K22" s="46" t="s">
        <v>31</v>
      </c>
      <c r="L22" s="46" t="s">
        <v>31</v>
      </c>
      <c r="M22" s="46" t="s">
        <v>31</v>
      </c>
      <c r="N22" s="338" t="s">
        <v>837</v>
      </c>
      <c r="U22" s="451" t="s">
        <v>837</v>
      </c>
      <c r="V22" s="388" t="s">
        <v>575</v>
      </c>
      <c r="W22" s="389">
        <v>2</v>
      </c>
      <c r="Y22" s="46" t="s">
        <v>221</v>
      </c>
      <c r="Z22" s="46">
        <f t="shared" si="2"/>
        <v>2E-3</v>
      </c>
    </row>
    <row r="23" spans="1:29">
      <c r="A23" s="138" t="s">
        <v>1214</v>
      </c>
      <c r="B23" s="46">
        <f t="shared" si="0"/>
        <v>5.9</v>
      </c>
      <c r="C23" s="46" t="s">
        <v>37</v>
      </c>
      <c r="D23" s="46" t="s">
        <v>2</v>
      </c>
      <c r="E23" s="46" t="s">
        <v>29</v>
      </c>
      <c r="F23" s="32" t="s">
        <v>14</v>
      </c>
      <c r="G23" s="46" t="s">
        <v>33</v>
      </c>
      <c r="H23" s="46">
        <v>1</v>
      </c>
      <c r="I23" s="46">
        <f t="shared" si="1"/>
        <v>5.9</v>
      </c>
      <c r="J23" s="46" t="s">
        <v>31</v>
      </c>
      <c r="K23" s="46" t="s">
        <v>31</v>
      </c>
      <c r="L23" s="46" t="s">
        <v>31</v>
      </c>
      <c r="M23" s="46" t="s">
        <v>31</v>
      </c>
      <c r="N23" s="338" t="s">
        <v>977</v>
      </c>
      <c r="U23" s="388" t="s">
        <v>977</v>
      </c>
      <c r="V23" s="388" t="s">
        <v>221</v>
      </c>
      <c r="W23" s="389">
        <v>5.9</v>
      </c>
      <c r="Y23" s="46" t="s">
        <v>221</v>
      </c>
      <c r="Z23" s="46">
        <f>W23</f>
        <v>5.9</v>
      </c>
    </row>
    <row r="24" spans="1:29">
      <c r="A24" s="387" t="s">
        <v>1215</v>
      </c>
      <c r="B24" s="350">
        <f>'2E. Machined casing'!B7</f>
        <v>10.8</v>
      </c>
      <c r="C24" s="46" t="s">
        <v>37</v>
      </c>
      <c r="D24" s="46" t="s">
        <v>2</v>
      </c>
      <c r="E24" s="46" t="s">
        <v>29</v>
      </c>
      <c r="F24" s="32" t="s">
        <v>14</v>
      </c>
      <c r="G24" s="46" t="s">
        <v>33</v>
      </c>
      <c r="H24" s="46">
        <v>1</v>
      </c>
      <c r="I24" s="46">
        <f t="shared" si="1"/>
        <v>10.8</v>
      </c>
      <c r="J24" s="46" t="s">
        <v>31</v>
      </c>
      <c r="K24" s="46" t="s">
        <v>31</v>
      </c>
      <c r="L24" s="46" t="s">
        <v>31</v>
      </c>
      <c r="M24" s="46" t="s">
        <v>31</v>
      </c>
      <c r="N24" s="338" t="s">
        <v>840</v>
      </c>
      <c r="U24" s="388" t="s">
        <v>979</v>
      </c>
      <c r="V24" s="392" t="s">
        <v>221</v>
      </c>
      <c r="W24" s="389">
        <v>11.08</v>
      </c>
      <c r="Y24" s="46" t="s">
        <v>221</v>
      </c>
      <c r="Z24" s="46">
        <f t="shared" ref="Z24" si="3">W24</f>
        <v>11.08</v>
      </c>
    </row>
    <row r="25" spans="1:29">
      <c r="A25" s="144" t="s">
        <v>842</v>
      </c>
      <c r="B25" s="46">
        <f t="shared" si="0"/>
        <v>9.5000000000000001E-2</v>
      </c>
      <c r="C25" s="46" t="s">
        <v>37</v>
      </c>
      <c r="D25" s="46" t="s">
        <v>40</v>
      </c>
      <c r="E25" s="46" t="s">
        <v>29</v>
      </c>
      <c r="F25" s="32" t="s">
        <v>128</v>
      </c>
      <c r="G25" s="46" t="s">
        <v>33</v>
      </c>
      <c r="H25" s="46">
        <v>1</v>
      </c>
      <c r="I25" s="46">
        <f t="shared" si="1"/>
        <v>9.5000000000000001E-2</v>
      </c>
      <c r="J25" s="46" t="s">
        <v>31</v>
      </c>
      <c r="K25" s="46" t="s">
        <v>31</v>
      </c>
      <c r="L25" s="46" t="s">
        <v>31</v>
      </c>
      <c r="M25" s="46" t="s">
        <v>31</v>
      </c>
      <c r="N25" s="338" t="s">
        <v>843</v>
      </c>
      <c r="U25" s="393" t="s">
        <v>843</v>
      </c>
      <c r="V25" s="393" t="s">
        <v>575</v>
      </c>
      <c r="W25" s="394">
        <v>95</v>
      </c>
      <c r="Y25" s="46" t="s">
        <v>221</v>
      </c>
      <c r="Z25" s="46">
        <f t="shared" ref="Z25:Z27" si="4">0.001*W25</f>
        <v>9.5000000000000001E-2</v>
      </c>
    </row>
    <row r="26" spans="1:29">
      <c r="A26" s="144" t="s">
        <v>844</v>
      </c>
      <c r="B26" s="46">
        <f t="shared" si="0"/>
        <v>0.02</v>
      </c>
      <c r="C26" s="46" t="s">
        <v>37</v>
      </c>
      <c r="D26" s="46" t="s">
        <v>40</v>
      </c>
      <c r="E26" s="46" t="s">
        <v>29</v>
      </c>
      <c r="F26" s="32" t="s">
        <v>58</v>
      </c>
      <c r="G26" s="46" t="s">
        <v>33</v>
      </c>
      <c r="H26" s="46">
        <v>1</v>
      </c>
      <c r="I26" s="46">
        <f t="shared" si="1"/>
        <v>0.02</v>
      </c>
      <c r="J26" s="46" t="s">
        <v>31</v>
      </c>
      <c r="K26" s="46" t="s">
        <v>31</v>
      </c>
      <c r="L26" s="46" t="s">
        <v>31</v>
      </c>
      <c r="M26" s="46" t="s">
        <v>31</v>
      </c>
      <c r="N26" s="46" t="s">
        <v>845</v>
      </c>
      <c r="U26" s="393" t="s">
        <v>845</v>
      </c>
      <c r="V26" s="393" t="s">
        <v>575</v>
      </c>
      <c r="W26" s="394">
        <v>20</v>
      </c>
      <c r="Y26" s="46" t="s">
        <v>221</v>
      </c>
      <c r="Z26" s="46">
        <f t="shared" si="4"/>
        <v>0.02</v>
      </c>
    </row>
    <row r="27" spans="1:29">
      <c r="A27" s="144" t="s">
        <v>601</v>
      </c>
      <c r="B27" s="46">
        <f t="shared" si="0"/>
        <v>0.02</v>
      </c>
      <c r="C27" s="46" t="s">
        <v>37</v>
      </c>
      <c r="D27" s="46" t="s">
        <v>40</v>
      </c>
      <c r="E27" s="46" t="s">
        <v>29</v>
      </c>
      <c r="F27" s="32" t="s">
        <v>35</v>
      </c>
      <c r="G27" s="46" t="s">
        <v>33</v>
      </c>
      <c r="H27" s="46">
        <v>1</v>
      </c>
      <c r="I27" s="46">
        <f t="shared" si="1"/>
        <v>0.02</v>
      </c>
      <c r="J27" s="46" t="s">
        <v>31</v>
      </c>
      <c r="K27" s="46" t="s">
        <v>31</v>
      </c>
      <c r="L27" s="46" t="s">
        <v>31</v>
      </c>
      <c r="M27" s="46" t="s">
        <v>31</v>
      </c>
      <c r="N27" s="46" t="s">
        <v>846</v>
      </c>
      <c r="U27" s="393" t="s">
        <v>846</v>
      </c>
      <c r="V27" s="393" t="s">
        <v>575</v>
      </c>
      <c r="W27" s="394">
        <v>20</v>
      </c>
      <c r="Y27" s="46" t="s">
        <v>221</v>
      </c>
      <c r="Z27" s="46">
        <f t="shared" si="4"/>
        <v>0.02</v>
      </c>
    </row>
    <row r="28" spans="1:29">
      <c r="A28" s="489" t="s">
        <v>75</v>
      </c>
      <c r="B28" s="46">
        <f>1.7+0.6</f>
        <v>2.2999999999999998</v>
      </c>
      <c r="C28" s="46" t="s">
        <v>39</v>
      </c>
      <c r="D28" s="46" t="s">
        <v>40</v>
      </c>
      <c r="E28" s="46" t="s">
        <v>29</v>
      </c>
      <c r="F28" s="46" t="s">
        <v>14</v>
      </c>
      <c r="G28" s="46" t="s">
        <v>33</v>
      </c>
      <c r="H28" s="46">
        <v>1</v>
      </c>
      <c r="I28" s="46">
        <f t="shared" si="1"/>
        <v>2.2999999999999998</v>
      </c>
      <c r="J28" s="46" t="s">
        <v>31</v>
      </c>
      <c r="K28" s="46" t="s">
        <v>31</v>
      </c>
      <c r="L28" s="46" t="s">
        <v>31</v>
      </c>
      <c r="M28" s="46" t="s">
        <v>31</v>
      </c>
      <c r="N28" s="46" t="s">
        <v>980</v>
      </c>
      <c r="U28" s="388"/>
      <c r="V28" s="392"/>
      <c r="W28" s="389"/>
    </row>
    <row r="29" spans="1:29">
      <c r="A29" s="489" t="s">
        <v>75</v>
      </c>
      <c r="B29" s="46">
        <v>6.5</v>
      </c>
      <c r="C29" s="46" t="s">
        <v>39</v>
      </c>
      <c r="D29" s="46" t="s">
        <v>40</v>
      </c>
      <c r="E29" s="46" t="s">
        <v>29</v>
      </c>
      <c r="F29" s="46" t="s">
        <v>14</v>
      </c>
      <c r="G29" s="46" t="s">
        <v>33</v>
      </c>
      <c r="H29" s="46">
        <v>1</v>
      </c>
      <c r="I29" s="46">
        <f t="shared" si="1"/>
        <v>6.5</v>
      </c>
      <c r="J29" s="46" t="s">
        <v>31</v>
      </c>
      <c r="K29" s="46" t="s">
        <v>31</v>
      </c>
      <c r="L29" s="46" t="s">
        <v>31</v>
      </c>
      <c r="M29" s="46" t="s">
        <v>31</v>
      </c>
      <c r="N29" s="46" t="s">
        <v>848</v>
      </c>
    </row>
    <row r="30" spans="1:29">
      <c r="A30" s="489" t="s">
        <v>75</v>
      </c>
      <c r="B30" s="46">
        <v>1.5</v>
      </c>
      <c r="C30" s="46" t="s">
        <v>39</v>
      </c>
      <c r="D30" s="46" t="s">
        <v>40</v>
      </c>
      <c r="E30" s="46" t="s">
        <v>29</v>
      </c>
      <c r="F30" s="46" t="s">
        <v>14</v>
      </c>
      <c r="G30" s="46" t="s">
        <v>33</v>
      </c>
      <c r="H30" s="46">
        <v>1</v>
      </c>
      <c r="I30" s="46">
        <f t="shared" si="1"/>
        <v>1.5</v>
      </c>
      <c r="J30" s="46" t="s">
        <v>31</v>
      </c>
      <c r="K30" s="46" t="s">
        <v>31</v>
      </c>
      <c r="L30" s="46" t="s">
        <v>31</v>
      </c>
      <c r="M30" s="46" t="s">
        <v>31</v>
      </c>
      <c r="N30" s="46" t="s">
        <v>849</v>
      </c>
    </row>
    <row r="31" spans="1:29">
      <c r="A31" s="362"/>
      <c r="B31" s="363"/>
      <c r="C31" s="364"/>
      <c r="D31" s="345"/>
      <c r="E31" s="345"/>
      <c r="F31" s="345"/>
      <c r="G31" s="345"/>
      <c r="H31" s="345"/>
      <c r="I31" s="345"/>
      <c r="J31" s="345"/>
      <c r="K31" s="345"/>
      <c r="L31" s="345"/>
      <c r="M31" s="345"/>
    </row>
    <row r="32" spans="1:29">
      <c r="A32" s="338"/>
      <c r="C32" s="337"/>
      <c r="N32" s="46" t="s">
        <v>1216</v>
      </c>
      <c r="O32" s="46" t="s">
        <v>1217</v>
      </c>
    </row>
    <row r="33" spans="1:14">
      <c r="A33" s="338"/>
      <c r="C33" s="337"/>
      <c r="N33" s="400">
        <f>SUM(B13:B27)-B17+0.245</f>
        <v>25.029999999999998</v>
      </c>
    </row>
    <row r="34" spans="1:14">
      <c r="A34" s="338"/>
      <c r="B34" s="339"/>
    </row>
    <row r="36" spans="1:14">
      <c r="A36" s="338"/>
    </row>
    <row r="38" spans="1:14">
      <c r="A38" s="62"/>
      <c r="F38" s="32"/>
    </row>
    <row r="39" spans="1:14">
      <c r="A39" s="335"/>
    </row>
    <row r="40" spans="1:14">
      <c r="A40" s="335"/>
      <c r="B40" s="336"/>
      <c r="C40" s="336"/>
      <c r="D40" s="336"/>
      <c r="E40" s="336"/>
      <c r="F40" s="336"/>
      <c r="G40" s="336"/>
      <c r="H40" s="336"/>
      <c r="I40" s="336"/>
      <c r="J40" s="336"/>
      <c r="K40" s="336"/>
      <c r="L40" s="336"/>
      <c r="M40" s="336"/>
      <c r="N40" s="336"/>
    </row>
    <row r="41" spans="1:14">
      <c r="A41" s="338"/>
      <c r="F41" s="32"/>
    </row>
    <row r="42" spans="1:14">
      <c r="A42" s="338"/>
      <c r="B42" s="412"/>
      <c r="F42" s="32"/>
    </row>
    <row r="43" spans="1:14">
      <c r="A43" s="338"/>
      <c r="F43" s="32"/>
    </row>
    <row r="44" spans="1:14">
      <c r="A44" s="338"/>
      <c r="F44" s="32"/>
    </row>
    <row r="45" spans="1:14">
      <c r="A45" s="338"/>
      <c r="F45" s="32"/>
    </row>
    <row r="46" spans="1:14">
      <c r="A46" s="338"/>
      <c r="F46" s="32"/>
    </row>
    <row r="47" spans="1:14">
      <c r="A47" s="338"/>
      <c r="F47" s="32"/>
    </row>
    <row r="48" spans="1:14">
      <c r="A48" s="338"/>
      <c r="F48" s="32"/>
    </row>
    <row r="49" spans="1:6">
      <c r="A49" s="338"/>
      <c r="F49" s="32"/>
    </row>
    <row r="50" spans="1:6">
      <c r="A50" s="338"/>
      <c r="F50" s="32"/>
    </row>
    <row r="51" spans="1:6">
      <c r="A51" s="338"/>
      <c r="F51" s="32"/>
    </row>
    <row r="52" spans="1:6">
      <c r="A52" s="338"/>
      <c r="F52" s="32"/>
    </row>
    <row r="53" spans="1:6">
      <c r="A53" s="338"/>
      <c r="F53" s="32"/>
    </row>
    <row r="54" spans="1:6">
      <c r="A54" s="338"/>
      <c r="F54" s="32"/>
    </row>
    <row r="55" spans="1:6">
      <c r="F55" s="32"/>
    </row>
    <row r="57" spans="1:6">
      <c r="A57" s="338"/>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AA414-077C-49D8-B4C9-689F582B9D31}">
  <dimension ref="A1:P201"/>
  <sheetViews>
    <sheetView workbookViewId="0">
      <selection activeCell="A13" sqref="A13"/>
    </sheetView>
  </sheetViews>
  <sheetFormatPr defaultColWidth="8.85546875" defaultRowHeight="1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6">
      <c r="A1" s="24" t="s">
        <v>0</v>
      </c>
      <c r="B1" s="24">
        <v>13</v>
      </c>
      <c r="C1" s="25"/>
    </row>
    <row r="2" spans="1:16" ht="15.75">
      <c r="A2" s="29" t="s">
        <v>5</v>
      </c>
      <c r="B2" s="29" t="s">
        <v>66</v>
      </c>
      <c r="C2" s="30"/>
      <c r="D2" s="31"/>
      <c r="E2" s="31"/>
      <c r="F2" s="31"/>
      <c r="G2" s="31"/>
      <c r="H2" s="31"/>
      <c r="I2" s="31"/>
      <c r="J2" s="31"/>
      <c r="K2" s="31"/>
      <c r="L2" s="31"/>
      <c r="M2" s="31"/>
      <c r="N2" s="31"/>
    </row>
    <row r="3" spans="1:16">
      <c r="A3" s="26" t="s">
        <v>7</v>
      </c>
      <c r="B3" s="26" t="s">
        <v>59</v>
      </c>
      <c r="C3" s="25"/>
    </row>
    <row r="4" spans="1:16" s="26" customFormat="1" ht="12.75">
      <c r="A4" s="26" t="s">
        <v>9</v>
      </c>
      <c r="B4" s="26" t="s">
        <v>95</v>
      </c>
      <c r="O4" s="69" t="s">
        <v>62</v>
      </c>
      <c r="P4" s="71" t="s">
        <v>63</v>
      </c>
    </row>
    <row r="5" spans="1:16" s="26" customFormat="1" ht="12.75">
      <c r="A5" s="26" t="s">
        <v>11</v>
      </c>
      <c r="B5" s="26" t="s">
        <v>96</v>
      </c>
      <c r="O5" s="72" t="s">
        <v>97</v>
      </c>
      <c r="P5" s="79">
        <v>100</v>
      </c>
    </row>
    <row r="6" spans="1:16" s="26" customFormat="1" ht="12.75">
      <c r="A6" s="26" t="s">
        <v>13</v>
      </c>
      <c r="B6" s="26" t="s">
        <v>69</v>
      </c>
      <c r="O6" s="75" t="s">
        <v>98</v>
      </c>
      <c r="P6" s="80">
        <v>33.33</v>
      </c>
    </row>
    <row r="7" spans="1:16" s="26" customFormat="1" ht="12.75">
      <c r="A7" s="26" t="s">
        <v>15</v>
      </c>
      <c r="B7" s="32">
        <v>1</v>
      </c>
      <c r="O7" s="81" t="s">
        <v>64</v>
      </c>
      <c r="P7" s="80">
        <f>P5/P6</f>
        <v>3.0003000300030003</v>
      </c>
    </row>
    <row r="8" spans="1:16" s="26" customFormat="1" ht="12.75">
      <c r="A8" s="26" t="s">
        <v>16</v>
      </c>
      <c r="B8" s="26" t="s">
        <v>17</v>
      </c>
    </row>
    <row r="9" spans="1:16" s="26" customFormat="1" ht="12.75">
      <c r="A9" s="26" t="s">
        <v>18</v>
      </c>
      <c r="B9" s="26" t="s">
        <v>18</v>
      </c>
    </row>
    <row r="10" spans="1:16" ht="15.75">
      <c r="A10" s="27" t="s">
        <v>19</v>
      </c>
    </row>
    <row r="11" spans="1:16" ht="15.75">
      <c r="A11" s="27" t="s">
        <v>20</v>
      </c>
      <c r="B11" s="27" t="s">
        <v>21</v>
      </c>
      <c r="C11" s="27" t="s">
        <v>18</v>
      </c>
      <c r="D11" s="27" t="s">
        <v>22</v>
      </c>
      <c r="E11" s="27" t="s">
        <v>7</v>
      </c>
      <c r="F11" s="27" t="s">
        <v>13</v>
      </c>
      <c r="G11" s="27" t="s">
        <v>16</v>
      </c>
      <c r="H11" s="27" t="s">
        <v>23</v>
      </c>
      <c r="I11" s="27" t="s">
        <v>24</v>
      </c>
      <c r="J11" s="27" t="s">
        <v>25</v>
      </c>
      <c r="K11" s="27" t="s">
        <v>26</v>
      </c>
      <c r="L11" s="27" t="s">
        <v>27</v>
      </c>
      <c r="M11" s="27" t="s">
        <v>28</v>
      </c>
      <c r="N11" s="27" t="s">
        <v>68</v>
      </c>
    </row>
    <row r="12" spans="1:16" s="26" customFormat="1" ht="12.75">
      <c r="A12" s="26" t="s">
        <v>66</v>
      </c>
      <c r="B12" s="26">
        <f>B7</f>
        <v>1</v>
      </c>
      <c r="C12" s="26" t="str">
        <f>B9</f>
        <v>unit</v>
      </c>
      <c r="D12" s="26" t="s">
        <v>2</v>
      </c>
      <c r="E12" s="26" t="s">
        <v>29</v>
      </c>
      <c r="F12" s="26" t="str">
        <f>B6</f>
        <v>NL</v>
      </c>
      <c r="G12" s="26" t="s">
        <v>30</v>
      </c>
      <c r="H12" s="26">
        <v>0</v>
      </c>
      <c r="I12" s="26">
        <f>B12</f>
        <v>1</v>
      </c>
    </row>
    <row r="13" spans="1:16" s="26" customFormat="1" ht="12.75">
      <c r="A13" s="32" t="s">
        <v>99</v>
      </c>
      <c r="B13" s="34">
        <v>1</v>
      </c>
      <c r="C13" s="26" t="s">
        <v>18</v>
      </c>
      <c r="D13" s="26" t="s">
        <v>2</v>
      </c>
      <c r="E13" s="26" t="s">
        <v>29</v>
      </c>
      <c r="F13" s="26" t="s">
        <v>35</v>
      </c>
      <c r="G13" s="26" t="s">
        <v>33</v>
      </c>
      <c r="H13" s="26">
        <v>0</v>
      </c>
      <c r="I13" s="26">
        <f t="shared" ref="I13:I14" si="0">B13</f>
        <v>1</v>
      </c>
      <c r="J13" s="26" t="s">
        <v>31</v>
      </c>
      <c r="K13" s="26" t="s">
        <v>31</v>
      </c>
      <c r="L13" s="26" t="s">
        <v>31</v>
      </c>
      <c r="M13" s="26" t="s">
        <v>31</v>
      </c>
      <c r="N13" s="26" t="s">
        <v>100</v>
      </c>
    </row>
    <row r="14" spans="1:16" s="26" customFormat="1" ht="12.75">
      <c r="A14" s="32" t="s">
        <v>101</v>
      </c>
      <c r="B14" s="34">
        <v>1</v>
      </c>
      <c r="C14" s="26" t="s">
        <v>18</v>
      </c>
      <c r="D14" s="26" t="s">
        <v>2</v>
      </c>
      <c r="E14" s="26" t="s">
        <v>29</v>
      </c>
      <c r="F14" s="26" t="s">
        <v>35</v>
      </c>
      <c r="G14" s="26" t="s">
        <v>33</v>
      </c>
      <c r="H14" s="26">
        <v>0</v>
      </c>
      <c r="I14" s="26">
        <f t="shared" si="0"/>
        <v>1</v>
      </c>
      <c r="J14" s="26" t="s">
        <v>31</v>
      </c>
      <c r="K14" s="26" t="s">
        <v>31</v>
      </c>
      <c r="L14" s="26" t="s">
        <v>31</v>
      </c>
      <c r="M14" s="26" t="s">
        <v>31</v>
      </c>
      <c r="N14" s="26" t="s">
        <v>102</v>
      </c>
    </row>
    <row r="15" spans="1:16" ht="15.75">
      <c r="A15" s="29" t="s">
        <v>5</v>
      </c>
      <c r="B15" s="29" t="s">
        <v>99</v>
      </c>
      <c r="C15" s="30"/>
      <c r="D15" s="31"/>
      <c r="E15" s="31"/>
      <c r="F15" s="31"/>
      <c r="G15" s="31"/>
      <c r="H15" s="31"/>
      <c r="I15" s="31"/>
      <c r="J15" s="31"/>
      <c r="K15" s="31"/>
      <c r="L15" s="31"/>
      <c r="M15" s="31"/>
      <c r="N15" s="31"/>
    </row>
    <row r="16" spans="1:16" s="26" customFormat="1" ht="12.75">
      <c r="A16" s="26" t="s">
        <v>7</v>
      </c>
      <c r="B16" s="26" t="s">
        <v>59</v>
      </c>
    </row>
    <row r="17" spans="1:14" s="26" customFormat="1" ht="12.75">
      <c r="A17" s="26" t="s">
        <v>9</v>
      </c>
      <c r="B17" s="26" t="s">
        <v>103</v>
      </c>
    </row>
    <row r="18" spans="1:14" s="26" customFormat="1" ht="12.75">
      <c r="A18" s="26" t="s">
        <v>11</v>
      </c>
      <c r="B18" s="26" t="s">
        <v>104</v>
      </c>
    </row>
    <row r="19" spans="1:14" s="26" customFormat="1" ht="12.75">
      <c r="A19" s="26" t="s">
        <v>13</v>
      </c>
      <c r="B19" s="26" t="s">
        <v>35</v>
      </c>
    </row>
    <row r="20" spans="1:14" s="26" customFormat="1" ht="12.75">
      <c r="A20" s="26" t="s">
        <v>15</v>
      </c>
      <c r="B20" s="32">
        <v>1</v>
      </c>
    </row>
    <row r="21" spans="1:14" s="26" customFormat="1" ht="12.75">
      <c r="A21" s="26" t="s">
        <v>16</v>
      </c>
      <c r="B21" s="26" t="s">
        <v>17</v>
      </c>
    </row>
    <row r="22" spans="1:14" s="26" customFormat="1" ht="12.75">
      <c r="A22" s="26" t="s">
        <v>18</v>
      </c>
      <c r="B22" s="26" t="s">
        <v>18</v>
      </c>
    </row>
    <row r="23" spans="1:14" ht="15.75">
      <c r="A23" s="27" t="s">
        <v>19</v>
      </c>
    </row>
    <row r="24" spans="1:14" ht="15.75">
      <c r="A24" s="27" t="s">
        <v>20</v>
      </c>
      <c r="B24" s="27" t="s">
        <v>21</v>
      </c>
      <c r="C24" s="27" t="s">
        <v>18</v>
      </c>
      <c r="D24" s="27" t="s">
        <v>22</v>
      </c>
      <c r="E24" s="27" t="s">
        <v>7</v>
      </c>
      <c r="F24" s="27" t="s">
        <v>13</v>
      </c>
      <c r="G24" s="27" t="s">
        <v>16</v>
      </c>
      <c r="H24" s="27" t="s">
        <v>23</v>
      </c>
      <c r="I24" s="27" t="s">
        <v>24</v>
      </c>
      <c r="J24" s="27" t="s">
        <v>25</v>
      </c>
      <c r="K24" s="27" t="s">
        <v>26</v>
      </c>
      <c r="L24" s="27" t="s">
        <v>27</v>
      </c>
      <c r="M24" s="27" t="s">
        <v>28</v>
      </c>
      <c r="N24" s="27" t="s">
        <v>68</v>
      </c>
    </row>
    <row r="25" spans="1:14" s="26" customFormat="1" ht="12.75">
      <c r="A25" s="26" t="s">
        <v>99</v>
      </c>
      <c r="B25" s="26">
        <f>B20</f>
        <v>1</v>
      </c>
      <c r="C25" s="26" t="str">
        <f>B22</f>
        <v>unit</v>
      </c>
      <c r="D25" s="26" t="s">
        <v>2</v>
      </c>
      <c r="E25" s="26" t="s">
        <v>29</v>
      </c>
      <c r="F25" s="26" t="str">
        <f>B19</f>
        <v>RER</v>
      </c>
      <c r="G25" s="26" t="s">
        <v>30</v>
      </c>
      <c r="H25" s="26">
        <v>0</v>
      </c>
      <c r="I25" s="26">
        <f>B25</f>
        <v>1</v>
      </c>
      <c r="J25" s="26" t="s">
        <v>31</v>
      </c>
      <c r="K25" s="26" t="s">
        <v>31</v>
      </c>
      <c r="L25" s="26" t="s">
        <v>31</v>
      </c>
      <c r="M25" s="26" t="s">
        <v>31</v>
      </c>
    </row>
    <row r="26" spans="1:14" s="26" customFormat="1" ht="12.75">
      <c r="A26" s="32" t="s">
        <v>105</v>
      </c>
      <c r="B26" s="34">
        <v>1</v>
      </c>
      <c r="C26" s="26" t="s">
        <v>18</v>
      </c>
      <c r="D26" s="26" t="s">
        <v>2</v>
      </c>
      <c r="E26" s="26" t="s">
        <v>29</v>
      </c>
      <c r="F26" s="26" t="s">
        <v>35</v>
      </c>
      <c r="G26" s="26" t="s">
        <v>33</v>
      </c>
      <c r="H26" s="26">
        <v>0</v>
      </c>
      <c r="I26" s="26">
        <f>B26</f>
        <v>1</v>
      </c>
      <c r="J26" s="26" t="s">
        <v>31</v>
      </c>
      <c r="K26" s="26" t="s">
        <v>31</v>
      </c>
      <c r="L26" s="26" t="s">
        <v>31</v>
      </c>
      <c r="M26" s="26" t="s">
        <v>31</v>
      </c>
      <c r="N26" s="26" t="s">
        <v>106</v>
      </c>
    </row>
    <row r="27" spans="1:14" s="26" customFormat="1" ht="12.75">
      <c r="A27" s="32" t="s">
        <v>107</v>
      </c>
      <c r="B27" s="34">
        <v>1</v>
      </c>
      <c r="C27" s="26" t="s">
        <v>18</v>
      </c>
      <c r="D27" s="26" t="s">
        <v>2</v>
      </c>
      <c r="E27" s="26" t="s">
        <v>29</v>
      </c>
      <c r="F27" s="26" t="s">
        <v>35</v>
      </c>
      <c r="G27" s="26" t="s">
        <v>33</v>
      </c>
      <c r="H27" s="26">
        <v>0</v>
      </c>
      <c r="I27" s="26">
        <f>B27</f>
        <v>1</v>
      </c>
      <c r="J27" s="26" t="s">
        <v>31</v>
      </c>
      <c r="K27" s="26" t="s">
        <v>31</v>
      </c>
      <c r="L27" s="26" t="s">
        <v>31</v>
      </c>
      <c r="M27" s="26" t="s">
        <v>31</v>
      </c>
      <c r="N27" s="26" t="s">
        <v>108</v>
      </c>
    </row>
    <row r="28" spans="1:14" s="26" customFormat="1" ht="12.75">
      <c r="A28" s="32" t="s">
        <v>109</v>
      </c>
      <c r="B28" s="34">
        <v>1</v>
      </c>
      <c r="C28" s="26" t="s">
        <v>18</v>
      </c>
      <c r="D28" s="26" t="s">
        <v>2</v>
      </c>
      <c r="E28" s="26" t="s">
        <v>29</v>
      </c>
      <c r="F28" s="26" t="s">
        <v>35</v>
      </c>
      <c r="G28" s="26" t="s">
        <v>33</v>
      </c>
      <c r="H28" s="26">
        <v>0</v>
      </c>
      <c r="I28" s="26">
        <f>B28</f>
        <v>1</v>
      </c>
      <c r="J28" s="26" t="s">
        <v>31</v>
      </c>
      <c r="K28" s="26" t="s">
        <v>31</v>
      </c>
      <c r="L28" s="26" t="s">
        <v>31</v>
      </c>
      <c r="M28" s="26" t="s">
        <v>31</v>
      </c>
      <c r="N28" s="26" t="s">
        <v>102</v>
      </c>
    </row>
    <row r="29" spans="1:14" ht="15.75">
      <c r="A29" s="29" t="s">
        <v>5</v>
      </c>
      <c r="B29" s="29" t="s">
        <v>105</v>
      </c>
      <c r="C29" s="30"/>
      <c r="D29" s="31"/>
      <c r="E29" s="31"/>
      <c r="F29" s="31"/>
      <c r="G29" s="31"/>
      <c r="H29" s="31"/>
      <c r="I29" s="31"/>
      <c r="J29" s="31"/>
      <c r="K29" s="31"/>
      <c r="L29" s="31"/>
      <c r="M29" s="31"/>
      <c r="N29" s="31"/>
    </row>
    <row r="30" spans="1:14" s="26" customFormat="1" ht="12.75">
      <c r="A30" s="26" t="s">
        <v>7</v>
      </c>
      <c r="B30" s="26" t="s">
        <v>59</v>
      </c>
    </row>
    <row r="31" spans="1:14" s="26" customFormat="1" ht="12.75">
      <c r="A31" s="26" t="s">
        <v>9</v>
      </c>
      <c r="B31" s="26" t="s">
        <v>110</v>
      </c>
    </row>
    <row r="32" spans="1:14" s="26" customFormat="1" ht="12.75">
      <c r="A32" s="26" t="s">
        <v>11</v>
      </c>
      <c r="B32" s="26" t="s">
        <v>111</v>
      </c>
    </row>
    <row r="33" spans="1:14" s="26" customFormat="1" ht="12.75">
      <c r="A33" s="26" t="s">
        <v>13</v>
      </c>
      <c r="B33" s="26" t="s">
        <v>35</v>
      </c>
    </row>
    <row r="34" spans="1:14" s="26" customFormat="1" ht="12.75">
      <c r="A34" s="26" t="s">
        <v>15</v>
      </c>
      <c r="B34" s="32">
        <v>1</v>
      </c>
    </row>
    <row r="35" spans="1:14" s="26" customFormat="1" ht="12.75">
      <c r="A35" s="26" t="s">
        <v>16</v>
      </c>
      <c r="B35" s="26" t="s">
        <v>17</v>
      </c>
    </row>
    <row r="36" spans="1:14" s="26" customFormat="1" ht="12.75">
      <c r="A36" s="26" t="s">
        <v>18</v>
      </c>
      <c r="B36" s="26" t="s">
        <v>18</v>
      </c>
    </row>
    <row r="37" spans="1:14" ht="15.75">
      <c r="A37" s="27" t="s">
        <v>19</v>
      </c>
    </row>
    <row r="38" spans="1:14" ht="15.75">
      <c r="A38" s="27" t="s">
        <v>20</v>
      </c>
      <c r="B38" s="27" t="s">
        <v>21</v>
      </c>
      <c r="C38" s="27" t="s">
        <v>18</v>
      </c>
      <c r="D38" s="27" t="s">
        <v>22</v>
      </c>
      <c r="E38" s="27" t="s">
        <v>7</v>
      </c>
      <c r="F38" s="27" t="s">
        <v>13</v>
      </c>
      <c r="G38" s="27" t="s">
        <v>16</v>
      </c>
      <c r="H38" s="27" t="s">
        <v>23</v>
      </c>
      <c r="I38" s="27" t="s">
        <v>24</v>
      </c>
      <c r="J38" s="27" t="s">
        <v>25</v>
      </c>
      <c r="K38" s="27" t="s">
        <v>26</v>
      </c>
      <c r="L38" s="27" t="s">
        <v>27</v>
      </c>
      <c r="M38" s="27" t="s">
        <v>28</v>
      </c>
      <c r="N38" s="27" t="s">
        <v>68</v>
      </c>
    </row>
    <row r="39" spans="1:14" s="26" customFormat="1" ht="12.75">
      <c r="A39" s="26" t="s">
        <v>105</v>
      </c>
      <c r="B39" s="26">
        <f>B34</f>
        <v>1</v>
      </c>
      <c r="C39" s="26" t="str">
        <f>B36</f>
        <v>unit</v>
      </c>
      <c r="D39" s="26" t="s">
        <v>2</v>
      </c>
      <c r="E39" s="26" t="s">
        <v>29</v>
      </c>
      <c r="F39" s="26" t="str">
        <f>B33</f>
        <v>RER</v>
      </c>
      <c r="G39" s="26" t="s">
        <v>30</v>
      </c>
      <c r="H39" s="26">
        <v>0</v>
      </c>
      <c r="I39" s="26">
        <f>B39</f>
        <v>1</v>
      </c>
      <c r="J39" s="26" t="s">
        <v>31</v>
      </c>
      <c r="K39" s="26" t="s">
        <v>31</v>
      </c>
      <c r="L39" s="26" t="s">
        <v>31</v>
      </c>
      <c r="M39" s="26" t="s">
        <v>31</v>
      </c>
    </row>
    <row r="40" spans="1:14" s="26" customFormat="1" ht="12.75">
      <c r="A40" s="26" t="s">
        <v>112</v>
      </c>
      <c r="B40" s="26">
        <v>49625</v>
      </c>
      <c r="C40" s="26" t="s">
        <v>113</v>
      </c>
      <c r="D40" s="26" t="s">
        <v>43</v>
      </c>
      <c r="E40" s="26" t="s">
        <v>114</v>
      </c>
      <c r="F40" s="26" t="s">
        <v>29</v>
      </c>
      <c r="G40" s="26" t="s">
        <v>45</v>
      </c>
      <c r="H40" s="26">
        <v>0</v>
      </c>
      <c r="I40" s="26">
        <f>B40</f>
        <v>49625</v>
      </c>
      <c r="J40" s="26" t="s">
        <v>31</v>
      </c>
      <c r="K40" s="26" t="s">
        <v>31</v>
      </c>
      <c r="L40" s="26" t="s">
        <v>31</v>
      </c>
      <c r="M40" s="26" t="s">
        <v>31</v>
      </c>
      <c r="N40" s="26" t="s">
        <v>115</v>
      </c>
    </row>
    <row r="41" spans="1:14" s="26" customFormat="1" ht="12.75">
      <c r="A41" s="26" t="s">
        <v>116</v>
      </c>
      <c r="B41" s="26">
        <f>100*B40</f>
        <v>4962500</v>
      </c>
      <c r="C41" s="26" t="s">
        <v>117</v>
      </c>
      <c r="D41" s="26" t="s">
        <v>43</v>
      </c>
      <c r="E41" s="26" t="s">
        <v>114</v>
      </c>
      <c r="F41" s="26" t="s">
        <v>29</v>
      </c>
      <c r="G41" s="26" t="s">
        <v>45</v>
      </c>
      <c r="H41" s="26">
        <v>0</v>
      </c>
      <c r="I41" s="26">
        <f>B41</f>
        <v>4962500</v>
      </c>
      <c r="J41" s="26" t="s">
        <v>31</v>
      </c>
      <c r="K41" s="26" t="s">
        <v>31</v>
      </c>
      <c r="L41" s="26" t="s">
        <v>31</v>
      </c>
      <c r="M41" s="26" t="s">
        <v>31</v>
      </c>
      <c r="N41" s="26" t="s">
        <v>118</v>
      </c>
    </row>
    <row r="42" spans="1:14" s="26" customFormat="1" ht="12.75">
      <c r="A42" s="32" t="s">
        <v>119</v>
      </c>
      <c r="B42" s="34">
        <f>B40*0.7</f>
        <v>34737.5</v>
      </c>
      <c r="C42" s="26" t="s">
        <v>113</v>
      </c>
      <c r="D42" s="26" t="s">
        <v>40</v>
      </c>
      <c r="E42" s="26" t="s">
        <v>29</v>
      </c>
      <c r="F42" s="26" t="s">
        <v>58</v>
      </c>
      <c r="G42" s="26" t="s">
        <v>33</v>
      </c>
      <c r="H42" s="26">
        <v>0</v>
      </c>
      <c r="I42" s="26">
        <f t="shared" ref="I42:I43" si="1">B42</f>
        <v>34737.5</v>
      </c>
      <c r="J42" s="26" t="s">
        <v>31</v>
      </c>
      <c r="K42" s="26" t="s">
        <v>31</v>
      </c>
      <c r="L42" s="26" t="s">
        <v>31</v>
      </c>
      <c r="M42" s="26" t="s">
        <v>31</v>
      </c>
      <c r="N42" s="26" t="s">
        <v>120</v>
      </c>
    </row>
    <row r="43" spans="1:14" s="26" customFormat="1" ht="12.75">
      <c r="A43" s="82" t="s">
        <v>121</v>
      </c>
      <c r="B43" s="34">
        <f>B40*0.3*5*2.5*P7</f>
        <v>558337.0837083708</v>
      </c>
      <c r="C43" s="26" t="s">
        <v>42</v>
      </c>
      <c r="D43" s="26" t="s">
        <v>40</v>
      </c>
      <c r="E43" s="26" t="s">
        <v>29</v>
      </c>
      <c r="F43" s="26" t="s">
        <v>58</v>
      </c>
      <c r="G43" s="26" t="s">
        <v>33</v>
      </c>
      <c r="H43" s="26">
        <v>0</v>
      </c>
      <c r="I43" s="26">
        <f t="shared" si="1"/>
        <v>558337.0837083708</v>
      </c>
      <c r="J43" s="26" t="s">
        <v>31</v>
      </c>
      <c r="K43" s="26" t="s">
        <v>31</v>
      </c>
      <c r="L43" s="26" t="s">
        <v>31</v>
      </c>
      <c r="M43" s="26" t="s">
        <v>31</v>
      </c>
      <c r="N43" s="26" t="s">
        <v>122</v>
      </c>
    </row>
    <row r="44" spans="1:14" ht="15.75">
      <c r="A44" s="29" t="s">
        <v>5</v>
      </c>
      <c r="B44" s="29" t="s">
        <v>107</v>
      </c>
      <c r="C44" s="30"/>
      <c r="D44" s="31"/>
      <c r="E44" s="31"/>
      <c r="F44" s="31"/>
      <c r="G44" s="31"/>
      <c r="H44" s="31"/>
      <c r="I44" s="31"/>
      <c r="J44" s="31"/>
      <c r="K44" s="31"/>
      <c r="L44" s="31"/>
      <c r="M44" s="31"/>
      <c r="N44" s="31"/>
    </row>
    <row r="45" spans="1:14" s="26" customFormat="1" ht="12.75">
      <c r="A45" s="26" t="s">
        <v>7</v>
      </c>
      <c r="B45" s="26" t="s">
        <v>59</v>
      </c>
    </row>
    <row r="46" spans="1:14" s="26" customFormat="1" ht="12.75">
      <c r="A46" s="26" t="s">
        <v>9</v>
      </c>
      <c r="B46" s="26" t="s">
        <v>123</v>
      </c>
    </row>
    <row r="47" spans="1:14" s="26" customFormat="1" ht="12.75">
      <c r="A47" s="26" t="s">
        <v>11</v>
      </c>
      <c r="B47" s="26" t="s">
        <v>124</v>
      </c>
    </row>
    <row r="48" spans="1:14" s="26" customFormat="1" ht="12.75">
      <c r="A48" s="26" t="s">
        <v>13</v>
      </c>
      <c r="B48" s="26" t="s">
        <v>35</v>
      </c>
    </row>
    <row r="49" spans="1:14" s="26" customFormat="1" ht="12.75">
      <c r="A49" s="26" t="s">
        <v>15</v>
      </c>
      <c r="B49" s="32">
        <v>1</v>
      </c>
    </row>
    <row r="50" spans="1:14" s="26" customFormat="1" ht="12.75">
      <c r="A50" s="26" t="s">
        <v>16</v>
      </c>
      <c r="B50" s="26" t="s">
        <v>17</v>
      </c>
    </row>
    <row r="51" spans="1:14" s="26" customFormat="1" ht="12.75">
      <c r="A51" s="26" t="s">
        <v>18</v>
      </c>
      <c r="B51" s="26" t="s">
        <v>18</v>
      </c>
    </row>
    <row r="52" spans="1:14" ht="15.75">
      <c r="A52" s="27" t="s">
        <v>19</v>
      </c>
    </row>
    <row r="53" spans="1:14" ht="15.75">
      <c r="A53" s="27" t="s">
        <v>20</v>
      </c>
      <c r="B53" s="27" t="s">
        <v>21</v>
      </c>
      <c r="C53" s="27" t="s">
        <v>18</v>
      </c>
      <c r="D53" s="27" t="s">
        <v>22</v>
      </c>
      <c r="E53" s="27" t="s">
        <v>7</v>
      </c>
      <c r="F53" s="27" t="s">
        <v>13</v>
      </c>
      <c r="G53" s="27" t="s">
        <v>16</v>
      </c>
      <c r="H53" s="27" t="s">
        <v>23</v>
      </c>
      <c r="I53" s="27" t="s">
        <v>24</v>
      </c>
      <c r="J53" s="27" t="s">
        <v>25</v>
      </c>
      <c r="K53" s="27" t="s">
        <v>26</v>
      </c>
      <c r="L53" s="27" t="s">
        <v>27</v>
      </c>
      <c r="M53" s="27" t="s">
        <v>28</v>
      </c>
      <c r="N53" s="27" t="s">
        <v>68</v>
      </c>
    </row>
    <row r="54" spans="1:14" s="26" customFormat="1" ht="12.75">
      <c r="A54" s="26" t="s">
        <v>107</v>
      </c>
      <c r="B54" s="26">
        <f>B49</f>
        <v>1</v>
      </c>
      <c r="C54" s="26" t="str">
        <f>B51</f>
        <v>unit</v>
      </c>
      <c r="D54" s="26" t="s">
        <v>2</v>
      </c>
      <c r="E54" s="26" t="s">
        <v>29</v>
      </c>
      <c r="F54" s="26" t="str">
        <f>B48</f>
        <v>RER</v>
      </c>
      <c r="G54" s="26" t="s">
        <v>30</v>
      </c>
      <c r="H54" s="26">
        <v>0</v>
      </c>
      <c r="I54" s="26">
        <f>B54</f>
        <v>1</v>
      </c>
      <c r="J54" s="26" t="s">
        <v>31</v>
      </c>
      <c r="K54" s="26" t="s">
        <v>31</v>
      </c>
      <c r="L54" s="26" t="s">
        <v>31</v>
      </c>
      <c r="M54" s="26" t="s">
        <v>31</v>
      </c>
    </row>
    <row r="55" spans="1:14" s="26" customFormat="1" ht="12.75">
      <c r="A55" s="32" t="s">
        <v>125</v>
      </c>
      <c r="B55" s="26">
        <v>96841</v>
      </c>
      <c r="C55" s="26" t="s">
        <v>113</v>
      </c>
      <c r="D55" s="26" t="s">
        <v>43</v>
      </c>
      <c r="E55" s="26" t="s">
        <v>114</v>
      </c>
      <c r="F55" s="26" t="s">
        <v>29</v>
      </c>
      <c r="G55" s="26" t="s">
        <v>45</v>
      </c>
      <c r="H55" s="26">
        <v>0</v>
      </c>
      <c r="I55" s="26">
        <f>B55</f>
        <v>96841</v>
      </c>
      <c r="J55" s="26" t="s">
        <v>31</v>
      </c>
      <c r="K55" s="26" t="s">
        <v>31</v>
      </c>
      <c r="L55" s="26" t="s">
        <v>31</v>
      </c>
      <c r="M55" s="26" t="s">
        <v>31</v>
      </c>
      <c r="N55" s="26" t="s">
        <v>115</v>
      </c>
    </row>
    <row r="56" spans="1:14" s="26" customFormat="1" ht="12.75">
      <c r="A56" s="26" t="s">
        <v>126</v>
      </c>
      <c r="B56" s="26">
        <f>100*B55</f>
        <v>9684100</v>
      </c>
      <c r="C56" s="26" t="s">
        <v>117</v>
      </c>
      <c r="D56" s="26" t="s">
        <v>43</v>
      </c>
      <c r="E56" s="26" t="s">
        <v>114</v>
      </c>
      <c r="F56" s="26" t="s">
        <v>29</v>
      </c>
      <c r="G56" s="26" t="s">
        <v>45</v>
      </c>
      <c r="H56" s="26">
        <v>0</v>
      </c>
      <c r="I56" s="26">
        <f>B56</f>
        <v>9684100</v>
      </c>
      <c r="J56" s="26" t="s">
        <v>31</v>
      </c>
      <c r="K56" s="26" t="s">
        <v>31</v>
      </c>
      <c r="L56" s="26" t="s">
        <v>31</v>
      </c>
      <c r="M56" s="26" t="s">
        <v>31</v>
      </c>
      <c r="N56" s="26" t="s">
        <v>118</v>
      </c>
    </row>
    <row r="57" spans="1:14" s="26" customFormat="1" ht="12.75">
      <c r="A57" s="83" t="s">
        <v>127</v>
      </c>
      <c r="B57" s="34">
        <f>B55*0.3*P7</f>
        <v>87165.616561656163</v>
      </c>
      <c r="C57" s="26" t="s">
        <v>42</v>
      </c>
      <c r="D57" s="26" t="s">
        <v>40</v>
      </c>
      <c r="E57" s="26" t="s">
        <v>29</v>
      </c>
      <c r="F57" s="26" t="s">
        <v>128</v>
      </c>
      <c r="G57" s="26" t="s">
        <v>33</v>
      </c>
      <c r="H57" s="26">
        <v>0</v>
      </c>
      <c r="I57" s="26">
        <f t="shared" ref="I57" si="2">B57</f>
        <v>87165.616561656163</v>
      </c>
      <c r="J57" s="26" t="s">
        <v>31</v>
      </c>
      <c r="K57" s="26" t="s">
        <v>31</v>
      </c>
      <c r="L57" s="26" t="s">
        <v>31</v>
      </c>
      <c r="M57" s="26" t="s">
        <v>31</v>
      </c>
      <c r="N57" s="26" t="s">
        <v>129</v>
      </c>
    </row>
    <row r="58" spans="1:14" ht="15.75">
      <c r="A58" s="29" t="s">
        <v>5</v>
      </c>
      <c r="B58" s="29" t="s">
        <v>109</v>
      </c>
      <c r="C58" s="30"/>
      <c r="D58" s="31"/>
      <c r="E58" s="31"/>
      <c r="F58" s="31"/>
      <c r="G58" s="31"/>
      <c r="H58" s="31"/>
      <c r="I58" s="31"/>
      <c r="J58" s="31"/>
      <c r="K58" s="31"/>
      <c r="L58" s="31"/>
      <c r="M58" s="31"/>
      <c r="N58" s="31"/>
    </row>
    <row r="59" spans="1:14" s="26" customFormat="1" ht="12.75">
      <c r="A59" s="26" t="s">
        <v>7</v>
      </c>
      <c r="B59" s="26" t="s">
        <v>59</v>
      </c>
    </row>
    <row r="60" spans="1:14" s="26" customFormat="1" ht="12.75">
      <c r="A60" s="26" t="s">
        <v>9</v>
      </c>
      <c r="B60" s="26" t="s">
        <v>130</v>
      </c>
    </row>
    <row r="61" spans="1:14" s="26" customFormat="1" ht="12.75">
      <c r="A61" s="26" t="s">
        <v>11</v>
      </c>
      <c r="B61" s="26" t="s">
        <v>131</v>
      </c>
    </row>
    <row r="62" spans="1:14" s="26" customFormat="1" ht="12.75">
      <c r="A62" s="26" t="s">
        <v>13</v>
      </c>
      <c r="B62" s="26" t="s">
        <v>35</v>
      </c>
    </row>
    <row r="63" spans="1:14" s="26" customFormat="1" ht="12.75">
      <c r="A63" s="26" t="s">
        <v>15</v>
      </c>
      <c r="B63" s="32">
        <v>1</v>
      </c>
    </row>
    <row r="64" spans="1:14" s="26" customFormat="1" ht="12.75">
      <c r="A64" s="26" t="s">
        <v>16</v>
      </c>
      <c r="B64" s="26" t="s">
        <v>17</v>
      </c>
    </row>
    <row r="65" spans="1:14" s="26" customFormat="1" ht="12.75">
      <c r="A65" s="26" t="s">
        <v>18</v>
      </c>
      <c r="B65" s="26" t="s">
        <v>18</v>
      </c>
    </row>
    <row r="66" spans="1:14" ht="15.75">
      <c r="A66" s="27" t="s">
        <v>19</v>
      </c>
    </row>
    <row r="67" spans="1:14" ht="15.75">
      <c r="A67" s="27" t="s">
        <v>20</v>
      </c>
      <c r="B67" s="27" t="s">
        <v>21</v>
      </c>
      <c r="C67" s="27" t="s">
        <v>18</v>
      </c>
      <c r="D67" s="27" t="s">
        <v>22</v>
      </c>
      <c r="E67" s="27" t="s">
        <v>7</v>
      </c>
      <c r="F67" s="27" t="s">
        <v>13</v>
      </c>
      <c r="G67" s="27" t="s">
        <v>16</v>
      </c>
      <c r="H67" s="27" t="s">
        <v>23</v>
      </c>
      <c r="I67" s="27" t="s">
        <v>24</v>
      </c>
      <c r="J67" s="27" t="s">
        <v>25</v>
      </c>
      <c r="K67" s="27" t="s">
        <v>26</v>
      </c>
      <c r="L67" s="27" t="s">
        <v>27</v>
      </c>
      <c r="M67" s="27" t="s">
        <v>28</v>
      </c>
      <c r="N67" s="27" t="s">
        <v>68</v>
      </c>
    </row>
    <row r="68" spans="1:14" s="26" customFormat="1" ht="12.75">
      <c r="A68" s="26" t="s">
        <v>109</v>
      </c>
      <c r="B68" s="26">
        <f>B63</f>
        <v>1</v>
      </c>
      <c r="C68" s="26" t="str">
        <f>B65</f>
        <v>unit</v>
      </c>
      <c r="D68" s="26" t="s">
        <v>2</v>
      </c>
      <c r="E68" s="26" t="s">
        <v>29</v>
      </c>
      <c r="F68" s="26" t="str">
        <f>B62</f>
        <v>RER</v>
      </c>
      <c r="G68" s="26" t="s">
        <v>30</v>
      </c>
      <c r="H68" s="26">
        <v>0</v>
      </c>
      <c r="I68" s="26">
        <f>B68</f>
        <v>1</v>
      </c>
      <c r="J68" s="26" t="s">
        <v>31</v>
      </c>
      <c r="K68" s="26" t="s">
        <v>31</v>
      </c>
      <c r="L68" s="26" t="s">
        <v>31</v>
      </c>
      <c r="M68" s="26" t="s">
        <v>31</v>
      </c>
    </row>
    <row r="69" spans="1:14" s="26" customFormat="1" ht="12.75">
      <c r="A69" s="32" t="s">
        <v>132</v>
      </c>
      <c r="B69" s="34">
        <f>466000-B40-B55</f>
        <v>319534</v>
      </c>
      <c r="C69" s="26" t="s">
        <v>113</v>
      </c>
      <c r="D69" s="26" t="s">
        <v>43</v>
      </c>
      <c r="E69" s="26" t="s">
        <v>114</v>
      </c>
      <c r="F69" s="26" t="s">
        <v>29</v>
      </c>
      <c r="G69" s="26" t="s">
        <v>45</v>
      </c>
      <c r="H69" s="26">
        <v>0</v>
      </c>
      <c r="I69" s="26">
        <f t="shared" ref="I69" si="3">B69</f>
        <v>319534</v>
      </c>
      <c r="J69" s="26" t="s">
        <v>31</v>
      </c>
      <c r="K69" s="26" t="s">
        <v>31</v>
      </c>
      <c r="L69" s="26" t="s">
        <v>31</v>
      </c>
      <c r="M69" s="26" t="s">
        <v>31</v>
      </c>
      <c r="N69" s="26" t="s">
        <v>115</v>
      </c>
    </row>
    <row r="70" spans="1:14" s="26" customFormat="1" ht="15.75">
      <c r="A70" s="29" t="s">
        <v>5</v>
      </c>
      <c r="B70" s="29" t="s">
        <v>101</v>
      </c>
      <c r="C70" s="30"/>
      <c r="D70" s="31"/>
      <c r="E70" s="31"/>
      <c r="F70" s="31"/>
      <c r="G70" s="31"/>
      <c r="H70" s="31"/>
      <c r="I70" s="31"/>
      <c r="J70" s="31"/>
      <c r="K70" s="31"/>
      <c r="L70" s="31"/>
      <c r="M70" s="31"/>
      <c r="N70" s="31"/>
    </row>
    <row r="71" spans="1:14" s="26" customFormat="1" ht="12.75">
      <c r="A71" s="26" t="s">
        <v>7</v>
      </c>
      <c r="B71" s="26" t="s">
        <v>59</v>
      </c>
    </row>
    <row r="72" spans="1:14" s="26" customFormat="1" ht="12.75">
      <c r="A72" s="26" t="s">
        <v>9</v>
      </c>
      <c r="B72" s="26" t="s">
        <v>133</v>
      </c>
    </row>
    <row r="73" spans="1:14">
      <c r="A73" s="26" t="s">
        <v>11</v>
      </c>
      <c r="B73" s="26" t="s">
        <v>134</v>
      </c>
      <c r="C73" s="26"/>
      <c r="D73" s="26"/>
      <c r="E73" s="26"/>
      <c r="F73" s="26"/>
      <c r="G73" s="26"/>
      <c r="H73" s="26"/>
      <c r="I73" s="26"/>
      <c r="J73" s="26"/>
      <c r="K73" s="26"/>
      <c r="L73" s="26"/>
      <c r="M73" s="26"/>
      <c r="N73" s="26"/>
    </row>
    <row r="74" spans="1:14">
      <c r="A74" s="26" t="s">
        <v>13</v>
      </c>
      <c r="B74" s="26" t="s">
        <v>35</v>
      </c>
      <c r="C74" s="26"/>
      <c r="D74" s="26"/>
      <c r="E74" s="26"/>
      <c r="F74" s="26"/>
      <c r="G74" s="26"/>
      <c r="H74" s="26"/>
      <c r="I74" s="26"/>
      <c r="J74" s="26"/>
      <c r="K74" s="26"/>
      <c r="L74" s="26"/>
      <c r="M74" s="26"/>
      <c r="N74" s="26"/>
    </row>
    <row r="75" spans="1:14">
      <c r="A75" s="26" t="s">
        <v>15</v>
      </c>
      <c r="B75" s="32">
        <v>1</v>
      </c>
      <c r="C75" s="26"/>
      <c r="D75" s="26"/>
      <c r="E75" s="26"/>
      <c r="F75" s="26"/>
      <c r="G75" s="26"/>
      <c r="H75" s="26"/>
      <c r="I75" s="26"/>
      <c r="J75" s="26"/>
      <c r="K75" s="26"/>
      <c r="L75" s="26"/>
      <c r="M75" s="26"/>
      <c r="N75" s="26"/>
    </row>
    <row r="76" spans="1:14">
      <c r="A76" s="26" t="s">
        <v>16</v>
      </c>
      <c r="B76" s="26" t="s">
        <v>17</v>
      </c>
      <c r="C76" s="26"/>
      <c r="D76" s="26"/>
      <c r="E76" s="26"/>
      <c r="F76" s="26"/>
      <c r="G76" s="26"/>
      <c r="H76" s="26"/>
      <c r="I76" s="26"/>
      <c r="J76" s="26"/>
      <c r="K76" s="26"/>
      <c r="L76" s="26"/>
      <c r="M76" s="26"/>
      <c r="N76" s="26"/>
    </row>
    <row r="77" spans="1:14">
      <c r="A77" s="26" t="s">
        <v>18</v>
      </c>
      <c r="B77" s="26" t="s">
        <v>18</v>
      </c>
      <c r="C77" s="26"/>
      <c r="D77" s="26"/>
      <c r="E77" s="26"/>
      <c r="F77" s="26"/>
      <c r="G77" s="26"/>
      <c r="H77" s="26"/>
      <c r="I77" s="26"/>
      <c r="J77" s="26"/>
      <c r="K77" s="26"/>
      <c r="L77" s="26"/>
      <c r="M77" s="26"/>
      <c r="N77" s="26"/>
    </row>
    <row r="78" spans="1:14" ht="15.75">
      <c r="A78" s="27" t="s">
        <v>19</v>
      </c>
    </row>
    <row r="79" spans="1:14" ht="15.75">
      <c r="A79" s="27" t="s">
        <v>20</v>
      </c>
      <c r="B79" s="27" t="s">
        <v>21</v>
      </c>
      <c r="C79" s="27" t="s">
        <v>18</v>
      </c>
      <c r="D79" s="27" t="s">
        <v>22</v>
      </c>
      <c r="E79" s="27" t="s">
        <v>7</v>
      </c>
      <c r="F79" s="27" t="s">
        <v>13</v>
      </c>
      <c r="G79" s="27" t="s">
        <v>16</v>
      </c>
      <c r="H79" s="27" t="s">
        <v>23</v>
      </c>
      <c r="I79" s="27" t="s">
        <v>24</v>
      </c>
      <c r="J79" s="27" t="s">
        <v>25</v>
      </c>
      <c r="K79" s="27" t="s">
        <v>26</v>
      </c>
      <c r="L79" s="27" t="s">
        <v>27</v>
      </c>
      <c r="M79" s="27" t="s">
        <v>28</v>
      </c>
      <c r="N79" s="27" t="s">
        <v>68</v>
      </c>
    </row>
    <row r="80" spans="1:14">
      <c r="A80" s="26" t="s">
        <v>101</v>
      </c>
      <c r="B80" s="26">
        <f>B75</f>
        <v>1</v>
      </c>
      <c r="C80" s="26" t="str">
        <f>B77</f>
        <v>unit</v>
      </c>
      <c r="D80" s="26" t="s">
        <v>2</v>
      </c>
      <c r="E80" s="26" t="s">
        <v>29</v>
      </c>
      <c r="F80" s="26" t="str">
        <f>B74</f>
        <v>RER</v>
      </c>
      <c r="G80" s="26" t="s">
        <v>30</v>
      </c>
      <c r="H80" s="26">
        <v>0</v>
      </c>
      <c r="I80" s="26">
        <f>B80</f>
        <v>1</v>
      </c>
      <c r="J80" s="26" t="s">
        <v>31</v>
      </c>
      <c r="K80" s="26" t="s">
        <v>31</v>
      </c>
      <c r="L80" s="26" t="s">
        <v>31</v>
      </c>
      <c r="M80" s="26" t="s">
        <v>31</v>
      </c>
      <c r="N80" s="26"/>
    </row>
    <row r="81" spans="1:14">
      <c r="A81" s="32" t="s">
        <v>135</v>
      </c>
      <c r="B81" s="34">
        <v>1</v>
      </c>
      <c r="C81" s="26" t="s">
        <v>18</v>
      </c>
      <c r="D81" s="26" t="s">
        <v>2</v>
      </c>
      <c r="E81" s="26" t="s">
        <v>29</v>
      </c>
      <c r="F81" s="26" t="s">
        <v>35</v>
      </c>
      <c r="G81" s="26" t="s">
        <v>33</v>
      </c>
      <c r="H81" s="26">
        <v>0</v>
      </c>
      <c r="I81" s="26">
        <f>B81</f>
        <v>1</v>
      </c>
      <c r="J81" s="26" t="s">
        <v>31</v>
      </c>
      <c r="K81" s="26" t="s">
        <v>31</v>
      </c>
      <c r="L81" s="26" t="s">
        <v>31</v>
      </c>
      <c r="M81" s="26" t="s">
        <v>31</v>
      </c>
      <c r="N81" s="26" t="s">
        <v>136</v>
      </c>
    </row>
    <row r="82" spans="1:14">
      <c r="A82" s="32" t="s">
        <v>137</v>
      </c>
      <c r="B82" s="34">
        <v>1</v>
      </c>
      <c r="C82" s="26" t="s">
        <v>18</v>
      </c>
      <c r="D82" s="26" t="s">
        <v>2</v>
      </c>
      <c r="E82" s="26" t="s">
        <v>29</v>
      </c>
      <c r="F82" s="26" t="s">
        <v>35</v>
      </c>
      <c r="G82" s="26" t="s">
        <v>33</v>
      </c>
      <c r="H82" s="26">
        <v>0</v>
      </c>
      <c r="I82" s="26">
        <f>B82</f>
        <v>1</v>
      </c>
      <c r="J82" s="26" t="s">
        <v>31</v>
      </c>
      <c r="K82" s="26" t="s">
        <v>31</v>
      </c>
      <c r="L82" s="26" t="s">
        <v>31</v>
      </c>
      <c r="M82" s="26" t="s">
        <v>31</v>
      </c>
      <c r="N82" s="26" t="s">
        <v>138</v>
      </c>
    </row>
    <row r="83" spans="1:14">
      <c r="A83" s="32" t="s">
        <v>139</v>
      </c>
      <c r="B83" s="34">
        <v>1</v>
      </c>
      <c r="C83" s="26" t="s">
        <v>18</v>
      </c>
      <c r="D83" s="26" t="s">
        <v>2</v>
      </c>
      <c r="E83" s="26" t="s">
        <v>29</v>
      </c>
      <c r="F83" s="26" t="s">
        <v>35</v>
      </c>
      <c r="G83" s="26" t="s">
        <v>33</v>
      </c>
      <c r="H83" s="26">
        <v>0</v>
      </c>
      <c r="I83" s="26">
        <f>B83</f>
        <v>1</v>
      </c>
      <c r="J83" s="26" t="s">
        <v>31</v>
      </c>
      <c r="K83" s="26" t="s">
        <v>31</v>
      </c>
      <c r="L83" s="26" t="s">
        <v>31</v>
      </c>
      <c r="M83" s="26" t="s">
        <v>31</v>
      </c>
      <c r="N83" s="26" t="s">
        <v>140</v>
      </c>
    </row>
    <row r="84" spans="1:14">
      <c r="A84" s="32" t="s">
        <v>141</v>
      </c>
      <c r="B84" s="34">
        <v>1</v>
      </c>
      <c r="C84" s="26" t="s">
        <v>18</v>
      </c>
      <c r="D84" s="26" t="s">
        <v>2</v>
      </c>
      <c r="E84" s="26" t="s">
        <v>29</v>
      </c>
      <c r="F84" s="26" t="s">
        <v>35</v>
      </c>
      <c r="G84" s="26" t="s">
        <v>33</v>
      </c>
      <c r="H84" s="26">
        <v>0</v>
      </c>
      <c r="I84" s="26">
        <f t="shared" ref="I84:I87" si="4">B84</f>
        <v>1</v>
      </c>
      <c r="J84" s="26" t="s">
        <v>31</v>
      </c>
      <c r="K84" s="26" t="s">
        <v>31</v>
      </c>
      <c r="L84" s="26" t="s">
        <v>31</v>
      </c>
      <c r="M84" s="26" t="s">
        <v>31</v>
      </c>
      <c r="N84" s="26" t="s">
        <v>142</v>
      </c>
    </row>
    <row r="85" spans="1:14">
      <c r="A85" s="32" t="s">
        <v>143</v>
      </c>
      <c r="B85" s="34">
        <v>1</v>
      </c>
      <c r="C85" s="26" t="s">
        <v>18</v>
      </c>
      <c r="D85" s="26" t="s">
        <v>2</v>
      </c>
      <c r="E85" s="26" t="s">
        <v>29</v>
      </c>
      <c r="F85" s="26" t="s">
        <v>35</v>
      </c>
      <c r="G85" s="26" t="s">
        <v>33</v>
      </c>
      <c r="H85" s="26">
        <v>0</v>
      </c>
      <c r="I85" s="26">
        <f t="shared" si="4"/>
        <v>1</v>
      </c>
      <c r="J85" s="26" t="s">
        <v>31</v>
      </c>
      <c r="K85" s="26" t="s">
        <v>31</v>
      </c>
      <c r="L85" s="26" t="s">
        <v>31</v>
      </c>
      <c r="M85" s="26" t="s">
        <v>31</v>
      </c>
      <c r="N85" s="26" t="s">
        <v>144</v>
      </c>
    </row>
    <row r="86" spans="1:14">
      <c r="A86" s="32" t="s">
        <v>145</v>
      </c>
      <c r="B86" s="34">
        <v>1</v>
      </c>
      <c r="C86" s="26" t="s">
        <v>18</v>
      </c>
      <c r="D86" s="26" t="s">
        <v>2</v>
      </c>
      <c r="E86" s="26" t="s">
        <v>29</v>
      </c>
      <c r="F86" s="26" t="s">
        <v>35</v>
      </c>
      <c r="G86" s="26" t="s">
        <v>33</v>
      </c>
      <c r="H86" s="26">
        <v>0</v>
      </c>
      <c r="I86" s="26">
        <f t="shared" si="4"/>
        <v>1</v>
      </c>
      <c r="J86" s="26" t="s">
        <v>31</v>
      </c>
      <c r="K86" s="26" t="s">
        <v>31</v>
      </c>
      <c r="L86" s="26" t="s">
        <v>31</v>
      </c>
      <c r="M86" s="26" t="s">
        <v>31</v>
      </c>
      <c r="N86" s="26" t="s">
        <v>146</v>
      </c>
    </row>
    <row r="87" spans="1:14">
      <c r="A87" s="32" t="s">
        <v>147</v>
      </c>
      <c r="B87" s="34">
        <v>1</v>
      </c>
      <c r="C87" s="26" t="s">
        <v>18</v>
      </c>
      <c r="D87" s="26" t="s">
        <v>2</v>
      </c>
      <c r="E87" s="26" t="s">
        <v>29</v>
      </c>
      <c r="F87" s="26" t="s">
        <v>35</v>
      </c>
      <c r="G87" s="26" t="s">
        <v>33</v>
      </c>
      <c r="H87" s="26">
        <v>0</v>
      </c>
      <c r="I87" s="26">
        <f t="shared" si="4"/>
        <v>1</v>
      </c>
      <c r="J87" s="26" t="s">
        <v>31</v>
      </c>
      <c r="K87" s="26" t="s">
        <v>31</v>
      </c>
      <c r="L87" s="26" t="s">
        <v>31</v>
      </c>
      <c r="M87" s="26" t="s">
        <v>31</v>
      </c>
      <c r="N87" s="26" t="s">
        <v>148</v>
      </c>
    </row>
    <row r="88" spans="1:14" ht="15.75">
      <c r="A88" s="29" t="s">
        <v>5</v>
      </c>
      <c r="B88" s="29" t="s">
        <v>135</v>
      </c>
      <c r="C88" s="30"/>
      <c r="D88" s="31"/>
      <c r="E88" s="31"/>
      <c r="F88" s="31"/>
      <c r="G88" s="31"/>
      <c r="H88" s="31"/>
      <c r="I88" s="31"/>
      <c r="J88" s="31"/>
      <c r="K88" s="31"/>
      <c r="L88" s="31"/>
      <c r="M88" s="31"/>
      <c r="N88" s="31"/>
    </row>
    <row r="89" spans="1:14">
      <c r="A89" s="26" t="s">
        <v>7</v>
      </c>
      <c r="B89" s="26" t="s">
        <v>59</v>
      </c>
      <c r="C89" s="26"/>
      <c r="D89" s="26"/>
      <c r="E89" s="26"/>
      <c r="F89" s="26"/>
      <c r="G89" s="26"/>
      <c r="H89" s="26"/>
      <c r="I89" s="26"/>
      <c r="J89" s="26"/>
      <c r="K89" s="26"/>
      <c r="L89" s="26"/>
      <c r="M89" s="26"/>
      <c r="N89" s="26"/>
    </row>
    <row r="90" spans="1:14">
      <c r="A90" s="26" t="s">
        <v>9</v>
      </c>
      <c r="B90" s="26" t="s">
        <v>149</v>
      </c>
      <c r="C90" s="26"/>
      <c r="D90" s="26"/>
      <c r="E90" s="26"/>
      <c r="F90" s="26"/>
      <c r="G90" s="26"/>
      <c r="H90" s="26"/>
      <c r="I90" s="26"/>
      <c r="J90" s="26"/>
      <c r="K90" s="26"/>
      <c r="L90" s="26"/>
      <c r="M90" s="26"/>
      <c r="N90" s="26"/>
    </row>
    <row r="91" spans="1:14">
      <c r="A91" s="26" t="s">
        <v>11</v>
      </c>
      <c r="B91" s="26" t="s">
        <v>150</v>
      </c>
      <c r="C91" s="26"/>
      <c r="D91" s="26"/>
      <c r="E91" s="26"/>
      <c r="F91" s="26"/>
      <c r="G91" s="26"/>
      <c r="H91" s="26"/>
      <c r="I91" s="26"/>
      <c r="J91" s="26"/>
      <c r="K91" s="26"/>
      <c r="L91" s="26"/>
      <c r="M91" s="26"/>
      <c r="N91" s="26"/>
    </row>
    <row r="92" spans="1:14">
      <c r="A92" s="26" t="s">
        <v>13</v>
      </c>
      <c r="B92" s="26" t="s">
        <v>35</v>
      </c>
      <c r="C92" s="26"/>
      <c r="D92" s="26"/>
      <c r="E92" s="26"/>
      <c r="F92" s="26"/>
      <c r="G92" s="26"/>
      <c r="H92" s="26"/>
      <c r="I92" s="26"/>
      <c r="J92" s="26"/>
      <c r="K92" s="26"/>
      <c r="L92" s="26"/>
      <c r="M92" s="26"/>
      <c r="N92" s="26"/>
    </row>
    <row r="93" spans="1:14">
      <c r="A93" s="26" t="s">
        <v>15</v>
      </c>
      <c r="B93" s="32">
        <v>1</v>
      </c>
      <c r="C93" s="26"/>
      <c r="D93" s="26"/>
      <c r="E93" s="26"/>
      <c r="F93" s="26"/>
      <c r="G93" s="26"/>
      <c r="H93" s="26"/>
      <c r="I93" s="26"/>
      <c r="J93" s="26"/>
      <c r="K93" s="26"/>
      <c r="L93" s="26"/>
      <c r="M93" s="26"/>
      <c r="N93" s="26"/>
    </row>
    <row r="94" spans="1:14">
      <c r="A94" s="26" t="s">
        <v>16</v>
      </c>
      <c r="B94" s="26" t="s">
        <v>17</v>
      </c>
      <c r="C94" s="26"/>
      <c r="D94" s="26"/>
      <c r="E94" s="26"/>
      <c r="F94" s="26"/>
      <c r="G94" s="26"/>
      <c r="H94" s="26"/>
      <c r="I94" s="26"/>
      <c r="J94" s="26"/>
      <c r="K94" s="26"/>
      <c r="L94" s="26"/>
      <c r="M94" s="26"/>
      <c r="N94" s="26"/>
    </row>
    <row r="95" spans="1:14">
      <c r="A95" s="26" t="s">
        <v>18</v>
      </c>
      <c r="B95" s="26" t="s">
        <v>18</v>
      </c>
      <c r="C95" s="26"/>
      <c r="D95" s="26"/>
      <c r="E95" s="26"/>
      <c r="F95" s="26"/>
      <c r="G95" s="26"/>
      <c r="H95" s="26"/>
      <c r="I95" s="26"/>
      <c r="J95" s="26"/>
      <c r="K95" s="26"/>
      <c r="L95" s="26"/>
      <c r="M95" s="26"/>
      <c r="N95" s="26"/>
    </row>
    <row r="96" spans="1:14" ht="15.75">
      <c r="A96" s="27" t="s">
        <v>19</v>
      </c>
    </row>
    <row r="97" spans="1:14" ht="15.75">
      <c r="A97" s="27" t="s">
        <v>20</v>
      </c>
      <c r="B97" s="27" t="s">
        <v>21</v>
      </c>
      <c r="C97" s="27" t="s">
        <v>18</v>
      </c>
      <c r="D97" s="27" t="s">
        <v>22</v>
      </c>
      <c r="E97" s="27" t="s">
        <v>7</v>
      </c>
      <c r="F97" s="27" t="s">
        <v>13</v>
      </c>
      <c r="G97" s="27" t="s">
        <v>16</v>
      </c>
      <c r="H97" s="27" t="s">
        <v>23</v>
      </c>
      <c r="I97" s="27" t="s">
        <v>24</v>
      </c>
      <c r="J97" s="27" t="s">
        <v>25</v>
      </c>
      <c r="K97" s="27" t="s">
        <v>26</v>
      </c>
      <c r="L97" s="27" t="s">
        <v>27</v>
      </c>
      <c r="M97" s="27" t="s">
        <v>28</v>
      </c>
      <c r="N97" s="27" t="s">
        <v>68</v>
      </c>
    </row>
    <row r="98" spans="1:14">
      <c r="A98" s="26" t="s">
        <v>135</v>
      </c>
      <c r="B98" s="26">
        <f>B93</f>
        <v>1</v>
      </c>
      <c r="C98" s="26" t="str">
        <f>B95</f>
        <v>unit</v>
      </c>
      <c r="D98" s="26" t="s">
        <v>2</v>
      </c>
      <c r="E98" s="26" t="s">
        <v>29</v>
      </c>
      <c r="F98" s="26" t="str">
        <f>B92</f>
        <v>RER</v>
      </c>
      <c r="G98" s="26" t="s">
        <v>30</v>
      </c>
      <c r="H98" s="26">
        <v>0</v>
      </c>
      <c r="I98" s="26">
        <f>B98</f>
        <v>1</v>
      </c>
      <c r="J98" s="26" t="s">
        <v>31</v>
      </c>
      <c r="K98" s="26" t="s">
        <v>31</v>
      </c>
      <c r="L98" s="26" t="s">
        <v>31</v>
      </c>
      <c r="M98" s="26" t="s">
        <v>31</v>
      </c>
      <c r="N98" s="26"/>
    </row>
    <row r="99" spans="1:14">
      <c r="A99" s="32" t="s">
        <v>112</v>
      </c>
      <c r="B99" s="34">
        <v>44863</v>
      </c>
      <c r="C99" s="26" t="s">
        <v>113</v>
      </c>
      <c r="D99" s="26" t="s">
        <v>43</v>
      </c>
      <c r="E99" s="26" t="s">
        <v>114</v>
      </c>
      <c r="F99" s="26" t="s">
        <v>29</v>
      </c>
      <c r="G99" s="26" t="s">
        <v>45</v>
      </c>
      <c r="H99" s="26">
        <v>0</v>
      </c>
      <c r="I99" s="26">
        <v>49625</v>
      </c>
      <c r="J99" s="26" t="s">
        <v>31</v>
      </c>
      <c r="K99" s="26" t="s">
        <v>31</v>
      </c>
      <c r="L99" s="26" t="s">
        <v>31</v>
      </c>
      <c r="M99" s="26" t="s">
        <v>31</v>
      </c>
      <c r="N99" s="26" t="s">
        <v>115</v>
      </c>
    </row>
    <row r="100" spans="1:14">
      <c r="A100" s="32" t="s">
        <v>116</v>
      </c>
      <c r="B100" s="34">
        <f>B99*100</f>
        <v>4486300</v>
      </c>
      <c r="C100" s="26" t="s">
        <v>117</v>
      </c>
      <c r="D100" s="26" t="s">
        <v>43</v>
      </c>
      <c r="E100" s="26" t="s">
        <v>114</v>
      </c>
      <c r="F100" s="26" t="s">
        <v>29</v>
      </c>
      <c r="G100" s="26" t="s">
        <v>45</v>
      </c>
      <c r="H100" s="26">
        <v>0</v>
      </c>
      <c r="I100" s="26">
        <v>4962500</v>
      </c>
      <c r="J100" s="26" t="s">
        <v>31</v>
      </c>
      <c r="K100" s="26" t="s">
        <v>31</v>
      </c>
      <c r="L100" s="26" t="s">
        <v>31</v>
      </c>
      <c r="M100" s="26" t="s">
        <v>31</v>
      </c>
      <c r="N100" s="26" t="s">
        <v>118</v>
      </c>
    </row>
    <row r="101" spans="1:14" s="26" customFormat="1" ht="12.75">
      <c r="A101" s="32" t="s">
        <v>119</v>
      </c>
      <c r="B101" s="34">
        <f>B99*0.7</f>
        <v>31404.1</v>
      </c>
      <c r="C101" s="26" t="s">
        <v>113</v>
      </c>
      <c r="D101" s="26" t="s">
        <v>40</v>
      </c>
      <c r="E101" s="26" t="s">
        <v>29</v>
      </c>
      <c r="F101" s="26" t="s">
        <v>58</v>
      </c>
      <c r="G101" s="26" t="s">
        <v>33</v>
      </c>
      <c r="H101" s="26">
        <v>0</v>
      </c>
      <c r="I101" s="26">
        <f t="shared" ref="I101:I102" si="5">B101</f>
        <v>31404.1</v>
      </c>
      <c r="J101" s="26" t="s">
        <v>31</v>
      </c>
      <c r="K101" s="26" t="s">
        <v>31</v>
      </c>
      <c r="L101" s="26" t="s">
        <v>31</v>
      </c>
      <c r="M101" s="26" t="s">
        <v>31</v>
      </c>
      <c r="N101" s="26" t="s">
        <v>120</v>
      </c>
    </row>
    <row r="102" spans="1:14" s="26" customFormat="1" ht="12.75">
      <c r="A102" s="82" t="s">
        <v>121</v>
      </c>
      <c r="B102" s="34">
        <f>B99*0.3*5*2.5*P7</f>
        <v>504759.22592259228</v>
      </c>
      <c r="C102" s="26" t="s">
        <v>42</v>
      </c>
      <c r="D102" s="26" t="s">
        <v>40</v>
      </c>
      <c r="E102" s="26" t="s">
        <v>29</v>
      </c>
      <c r="F102" s="26" t="s">
        <v>58</v>
      </c>
      <c r="G102" s="26" t="s">
        <v>33</v>
      </c>
      <c r="H102" s="26">
        <v>0</v>
      </c>
      <c r="I102" s="26">
        <f t="shared" si="5"/>
        <v>504759.22592259228</v>
      </c>
      <c r="J102" s="26" t="s">
        <v>31</v>
      </c>
      <c r="K102" s="26" t="s">
        <v>31</v>
      </c>
      <c r="L102" s="26" t="s">
        <v>31</v>
      </c>
      <c r="M102" s="26" t="s">
        <v>31</v>
      </c>
      <c r="N102" s="26" t="s">
        <v>122</v>
      </c>
    </row>
    <row r="103" spans="1:14" ht="15.75">
      <c r="A103" s="29" t="s">
        <v>5</v>
      </c>
      <c r="B103" s="29" t="s">
        <v>137</v>
      </c>
      <c r="C103" s="30"/>
      <c r="D103" s="31"/>
      <c r="E103" s="31"/>
      <c r="F103" s="31"/>
      <c r="G103" s="31"/>
      <c r="H103" s="31"/>
      <c r="I103" s="31"/>
      <c r="J103" s="31"/>
      <c r="K103" s="31"/>
      <c r="L103" s="31"/>
      <c r="M103" s="31"/>
      <c r="N103" s="31"/>
    </row>
    <row r="104" spans="1:14">
      <c r="A104" s="26" t="s">
        <v>7</v>
      </c>
      <c r="B104" s="26" t="s">
        <v>59</v>
      </c>
      <c r="C104" s="26"/>
      <c r="D104" s="26"/>
      <c r="E104" s="26"/>
      <c r="F104" s="26"/>
      <c r="G104" s="26"/>
      <c r="H104" s="26"/>
      <c r="I104" s="26"/>
      <c r="J104" s="26"/>
      <c r="K104" s="26"/>
      <c r="L104" s="26"/>
      <c r="M104" s="26"/>
      <c r="N104" s="26"/>
    </row>
    <row r="105" spans="1:14">
      <c r="A105" s="26" t="s">
        <v>9</v>
      </c>
      <c r="B105" s="26" t="s">
        <v>151</v>
      </c>
      <c r="C105" s="26"/>
      <c r="D105" s="26"/>
      <c r="E105" s="26"/>
      <c r="F105" s="26"/>
      <c r="G105" s="26"/>
      <c r="H105" s="26"/>
      <c r="I105" s="26"/>
      <c r="J105" s="26"/>
      <c r="K105" s="26"/>
      <c r="L105" s="26"/>
      <c r="M105" s="26"/>
      <c r="N105" s="26"/>
    </row>
    <row r="106" spans="1:14">
      <c r="A106" s="26" t="s">
        <v>11</v>
      </c>
      <c r="B106" s="26" t="s">
        <v>152</v>
      </c>
      <c r="C106" s="26"/>
      <c r="D106" s="26"/>
      <c r="E106" s="26"/>
      <c r="F106" s="26"/>
      <c r="G106" s="26"/>
      <c r="H106" s="26"/>
      <c r="I106" s="26"/>
      <c r="J106" s="26"/>
      <c r="K106" s="26"/>
      <c r="L106" s="26"/>
      <c r="M106" s="26"/>
      <c r="N106" s="26"/>
    </row>
    <row r="107" spans="1:14">
      <c r="A107" s="26" t="s">
        <v>13</v>
      </c>
      <c r="B107" s="26" t="s">
        <v>35</v>
      </c>
      <c r="C107" s="26"/>
      <c r="D107" s="26"/>
      <c r="E107" s="26"/>
      <c r="F107" s="26"/>
      <c r="G107" s="26"/>
      <c r="H107" s="26"/>
      <c r="I107" s="26"/>
      <c r="J107" s="26"/>
      <c r="K107" s="26"/>
      <c r="L107" s="26"/>
      <c r="M107" s="26"/>
      <c r="N107" s="26"/>
    </row>
    <row r="108" spans="1:14">
      <c r="A108" s="26" t="s">
        <v>15</v>
      </c>
      <c r="B108" s="32">
        <v>1</v>
      </c>
      <c r="C108" s="26"/>
      <c r="D108" s="26"/>
      <c r="E108" s="26"/>
      <c r="F108" s="26"/>
      <c r="G108" s="26"/>
      <c r="H108" s="26"/>
      <c r="I108" s="26"/>
      <c r="J108" s="26"/>
      <c r="K108" s="26"/>
      <c r="L108" s="26"/>
      <c r="M108" s="26"/>
      <c r="N108" s="26"/>
    </row>
    <row r="109" spans="1:14">
      <c r="A109" s="26" t="s">
        <v>16</v>
      </c>
      <c r="B109" s="26" t="s">
        <v>17</v>
      </c>
      <c r="C109" s="26"/>
      <c r="D109" s="26"/>
      <c r="E109" s="26"/>
      <c r="F109" s="26"/>
      <c r="G109" s="26"/>
      <c r="H109" s="26"/>
      <c r="I109" s="26"/>
      <c r="J109" s="26"/>
      <c r="K109" s="26"/>
      <c r="L109" s="26"/>
      <c r="M109" s="26"/>
      <c r="N109" s="26"/>
    </row>
    <row r="110" spans="1:14">
      <c r="A110" s="26" t="s">
        <v>18</v>
      </c>
      <c r="B110" s="26" t="s">
        <v>18</v>
      </c>
      <c r="C110" s="26"/>
      <c r="D110" s="26"/>
      <c r="E110" s="26"/>
      <c r="F110" s="26"/>
      <c r="G110" s="26"/>
      <c r="H110" s="26"/>
      <c r="I110" s="26"/>
      <c r="J110" s="26"/>
      <c r="K110" s="26"/>
      <c r="L110" s="26"/>
      <c r="M110" s="26"/>
      <c r="N110" s="26"/>
    </row>
    <row r="111" spans="1:14" ht="15.75">
      <c r="A111" s="27" t="s">
        <v>19</v>
      </c>
    </row>
    <row r="112" spans="1:14" ht="15.75">
      <c r="A112" s="27" t="s">
        <v>20</v>
      </c>
      <c r="B112" s="27" t="s">
        <v>21</v>
      </c>
      <c r="C112" s="27" t="s">
        <v>18</v>
      </c>
      <c r="D112" s="27" t="s">
        <v>22</v>
      </c>
      <c r="E112" s="27" t="s">
        <v>7</v>
      </c>
      <c r="F112" s="27" t="s">
        <v>13</v>
      </c>
      <c r="G112" s="27" t="s">
        <v>16</v>
      </c>
      <c r="H112" s="27" t="s">
        <v>23</v>
      </c>
      <c r="I112" s="27" t="s">
        <v>24</v>
      </c>
      <c r="J112" s="27" t="s">
        <v>25</v>
      </c>
      <c r="K112" s="27" t="s">
        <v>26</v>
      </c>
      <c r="L112" s="27" t="s">
        <v>27</v>
      </c>
      <c r="M112" s="27" t="s">
        <v>28</v>
      </c>
      <c r="N112" s="27" t="s">
        <v>68</v>
      </c>
    </row>
    <row r="113" spans="1:14">
      <c r="A113" s="26" t="s">
        <v>137</v>
      </c>
      <c r="B113" s="26">
        <f>B108</f>
        <v>1</v>
      </c>
      <c r="C113" s="26" t="str">
        <f>B110</f>
        <v>unit</v>
      </c>
      <c r="D113" s="26" t="s">
        <v>2</v>
      </c>
      <c r="E113" s="26" t="s">
        <v>29</v>
      </c>
      <c r="F113" s="26" t="str">
        <f>B107</f>
        <v>RER</v>
      </c>
      <c r="G113" s="26" t="s">
        <v>30</v>
      </c>
      <c r="H113" s="26">
        <v>0</v>
      </c>
      <c r="I113" s="26">
        <f>B113</f>
        <v>1</v>
      </c>
      <c r="J113" s="26" t="s">
        <v>31</v>
      </c>
      <c r="K113" s="26" t="s">
        <v>31</v>
      </c>
      <c r="L113" s="26" t="s">
        <v>31</v>
      </c>
      <c r="M113" s="26" t="s">
        <v>31</v>
      </c>
      <c r="N113" s="26"/>
    </row>
    <row r="114" spans="1:14">
      <c r="A114" s="32" t="s">
        <v>112</v>
      </c>
      <c r="B114" s="34">
        <v>9369</v>
      </c>
      <c r="C114" s="26" t="s">
        <v>113</v>
      </c>
      <c r="D114" s="26" t="s">
        <v>43</v>
      </c>
      <c r="E114" s="26" t="s">
        <v>114</v>
      </c>
      <c r="F114" s="26" t="s">
        <v>29</v>
      </c>
      <c r="G114" s="26" t="s">
        <v>45</v>
      </c>
      <c r="H114" s="26">
        <v>0</v>
      </c>
      <c r="I114" s="26">
        <v>49625</v>
      </c>
      <c r="J114" s="26" t="s">
        <v>31</v>
      </c>
      <c r="K114" s="26" t="s">
        <v>31</v>
      </c>
      <c r="L114" s="26" t="s">
        <v>31</v>
      </c>
      <c r="M114" s="26" t="s">
        <v>31</v>
      </c>
      <c r="N114" s="26" t="s">
        <v>115</v>
      </c>
    </row>
    <row r="115" spans="1:14">
      <c r="A115" s="32" t="s">
        <v>116</v>
      </c>
      <c r="B115" s="34">
        <f>B114*100</f>
        <v>936900</v>
      </c>
      <c r="C115" s="26" t="s">
        <v>117</v>
      </c>
      <c r="D115" s="26" t="s">
        <v>43</v>
      </c>
      <c r="E115" s="26" t="s">
        <v>114</v>
      </c>
      <c r="F115" s="26" t="s">
        <v>29</v>
      </c>
      <c r="G115" s="26" t="s">
        <v>45</v>
      </c>
      <c r="H115" s="26">
        <v>0</v>
      </c>
      <c r="I115" s="26">
        <v>4962500</v>
      </c>
      <c r="J115" s="26" t="s">
        <v>31</v>
      </c>
      <c r="K115" s="26" t="s">
        <v>31</v>
      </c>
      <c r="L115" s="26" t="s">
        <v>31</v>
      </c>
      <c r="M115" s="26" t="s">
        <v>31</v>
      </c>
      <c r="N115" s="26" t="s">
        <v>118</v>
      </c>
    </row>
    <row r="116" spans="1:14" s="26" customFormat="1" ht="12.75">
      <c r="A116" s="32" t="s">
        <v>119</v>
      </c>
      <c r="B116" s="34">
        <f>B114*0.7</f>
        <v>6558.2999999999993</v>
      </c>
      <c r="C116" s="26" t="s">
        <v>113</v>
      </c>
      <c r="D116" s="26" t="s">
        <v>40</v>
      </c>
      <c r="E116" s="26" t="s">
        <v>29</v>
      </c>
      <c r="F116" s="26" t="s">
        <v>58</v>
      </c>
      <c r="G116" s="26" t="s">
        <v>33</v>
      </c>
      <c r="H116" s="26">
        <v>0</v>
      </c>
      <c r="I116" s="26">
        <f t="shared" ref="I116:I117" si="6">B116</f>
        <v>6558.2999999999993</v>
      </c>
      <c r="J116" s="26" t="s">
        <v>31</v>
      </c>
      <c r="K116" s="26" t="s">
        <v>31</v>
      </c>
      <c r="L116" s="26" t="s">
        <v>31</v>
      </c>
      <c r="M116" s="26" t="s">
        <v>31</v>
      </c>
      <c r="N116" s="26" t="s">
        <v>153</v>
      </c>
    </row>
    <row r="117" spans="1:14" s="26" customFormat="1" ht="12.75">
      <c r="A117" s="82" t="s">
        <v>121</v>
      </c>
      <c r="B117" s="34">
        <f>B114*0.3*5*2.5*P7</f>
        <v>105411.79117911791</v>
      </c>
      <c r="C117" s="26" t="s">
        <v>42</v>
      </c>
      <c r="D117" s="26" t="s">
        <v>40</v>
      </c>
      <c r="E117" s="26" t="s">
        <v>29</v>
      </c>
      <c r="F117" s="26" t="s">
        <v>58</v>
      </c>
      <c r="G117" s="26" t="s">
        <v>33</v>
      </c>
      <c r="H117" s="26">
        <v>0</v>
      </c>
      <c r="I117" s="26">
        <f t="shared" si="6"/>
        <v>105411.79117911791</v>
      </c>
      <c r="J117" s="26" t="s">
        <v>31</v>
      </c>
      <c r="K117" s="26" t="s">
        <v>31</v>
      </c>
      <c r="L117" s="26" t="s">
        <v>31</v>
      </c>
      <c r="M117" s="26" t="s">
        <v>31</v>
      </c>
      <c r="N117" s="26" t="s">
        <v>122</v>
      </c>
    </row>
    <row r="118" spans="1:14" ht="15.75">
      <c r="A118" s="29" t="s">
        <v>5</v>
      </c>
      <c r="B118" s="29" t="s">
        <v>139</v>
      </c>
      <c r="C118" s="30"/>
      <c r="D118" s="31"/>
      <c r="E118" s="31"/>
      <c r="F118" s="31"/>
      <c r="G118" s="31"/>
      <c r="H118" s="31"/>
      <c r="I118" s="31"/>
      <c r="J118" s="31"/>
      <c r="K118" s="31"/>
      <c r="L118" s="31"/>
      <c r="M118" s="31"/>
      <c r="N118" s="31"/>
    </row>
    <row r="119" spans="1:14">
      <c r="A119" s="26" t="s">
        <v>7</v>
      </c>
      <c r="B119" s="26" t="s">
        <v>59</v>
      </c>
      <c r="C119" s="26"/>
      <c r="D119" s="26"/>
      <c r="E119" s="26"/>
      <c r="F119" s="26"/>
      <c r="G119" s="26"/>
      <c r="H119" s="26"/>
      <c r="I119" s="26"/>
      <c r="J119" s="26"/>
      <c r="K119" s="26"/>
      <c r="L119" s="26"/>
      <c r="M119" s="26"/>
      <c r="N119" s="26"/>
    </row>
    <row r="120" spans="1:14">
      <c r="A120" s="26" t="s">
        <v>9</v>
      </c>
      <c r="B120" s="26" t="s">
        <v>154</v>
      </c>
      <c r="C120" s="26"/>
      <c r="D120" s="26"/>
      <c r="E120" s="26"/>
      <c r="F120" s="26"/>
      <c r="G120" s="26"/>
      <c r="H120" s="26"/>
      <c r="I120" s="26"/>
      <c r="J120" s="26"/>
      <c r="K120" s="26"/>
      <c r="L120" s="26"/>
      <c r="M120" s="26"/>
      <c r="N120" s="26"/>
    </row>
    <row r="121" spans="1:14">
      <c r="A121" s="26" t="s">
        <v>11</v>
      </c>
      <c r="B121" s="26" t="s">
        <v>155</v>
      </c>
      <c r="C121" s="26"/>
      <c r="D121" s="26"/>
      <c r="E121" s="26"/>
      <c r="F121" s="26"/>
      <c r="G121" s="26"/>
      <c r="H121" s="26"/>
      <c r="I121" s="26"/>
      <c r="J121" s="26"/>
      <c r="K121" s="26"/>
      <c r="L121" s="26"/>
      <c r="M121" s="26"/>
      <c r="N121" s="26"/>
    </row>
    <row r="122" spans="1:14">
      <c r="A122" s="26" t="s">
        <v>13</v>
      </c>
      <c r="B122" s="26" t="s">
        <v>35</v>
      </c>
      <c r="C122" s="26"/>
      <c r="D122" s="26"/>
      <c r="E122" s="26"/>
      <c r="F122" s="26"/>
      <c r="G122" s="26"/>
      <c r="H122" s="26"/>
      <c r="I122" s="26"/>
      <c r="J122" s="26"/>
      <c r="K122" s="26"/>
      <c r="L122" s="26"/>
      <c r="M122" s="26"/>
      <c r="N122" s="26"/>
    </row>
    <row r="123" spans="1:14">
      <c r="A123" s="26" t="s">
        <v>15</v>
      </c>
      <c r="B123" s="32">
        <v>1</v>
      </c>
      <c r="C123" s="26"/>
      <c r="D123" s="26"/>
      <c r="E123" s="26"/>
      <c r="F123" s="26"/>
      <c r="G123" s="26"/>
      <c r="H123" s="26"/>
      <c r="I123" s="26"/>
      <c r="J123" s="26"/>
      <c r="K123" s="26"/>
      <c r="L123" s="26"/>
      <c r="M123" s="26"/>
      <c r="N123" s="26"/>
    </row>
    <row r="124" spans="1:14">
      <c r="A124" s="26" t="s">
        <v>16</v>
      </c>
      <c r="B124" s="26" t="s">
        <v>17</v>
      </c>
      <c r="C124" s="26"/>
      <c r="D124" s="26"/>
      <c r="E124" s="26"/>
      <c r="F124" s="26"/>
      <c r="G124" s="26"/>
      <c r="H124" s="26"/>
      <c r="I124" s="26"/>
      <c r="J124" s="26"/>
      <c r="K124" s="26"/>
      <c r="L124" s="26"/>
      <c r="M124" s="26"/>
      <c r="N124" s="26"/>
    </row>
    <row r="125" spans="1:14">
      <c r="A125" s="26" t="s">
        <v>18</v>
      </c>
      <c r="B125" s="26" t="s">
        <v>18</v>
      </c>
      <c r="C125" s="26"/>
      <c r="D125" s="26"/>
      <c r="E125" s="26"/>
      <c r="F125" s="26"/>
      <c r="G125" s="26"/>
      <c r="H125" s="26"/>
      <c r="I125" s="26"/>
      <c r="J125" s="26"/>
      <c r="K125" s="26"/>
      <c r="L125" s="26"/>
      <c r="M125" s="26"/>
      <c r="N125" s="26"/>
    </row>
    <row r="126" spans="1:14" ht="15.75">
      <c r="A126" s="27" t="s">
        <v>19</v>
      </c>
    </row>
    <row r="127" spans="1:14" ht="15.75">
      <c r="A127" s="27" t="s">
        <v>20</v>
      </c>
      <c r="B127" s="27" t="s">
        <v>21</v>
      </c>
      <c r="C127" s="27" t="s">
        <v>18</v>
      </c>
      <c r="D127" s="27" t="s">
        <v>22</v>
      </c>
      <c r="E127" s="27" t="s">
        <v>7</v>
      </c>
      <c r="F127" s="27" t="s">
        <v>13</v>
      </c>
      <c r="G127" s="27" t="s">
        <v>16</v>
      </c>
      <c r="H127" s="27" t="s">
        <v>23</v>
      </c>
      <c r="I127" s="27" t="s">
        <v>24</v>
      </c>
      <c r="J127" s="27" t="s">
        <v>25</v>
      </c>
      <c r="K127" s="27" t="s">
        <v>26</v>
      </c>
      <c r="L127" s="27" t="s">
        <v>27</v>
      </c>
      <c r="M127" s="27" t="s">
        <v>28</v>
      </c>
      <c r="N127" s="27" t="s">
        <v>68</v>
      </c>
    </row>
    <row r="128" spans="1:14">
      <c r="A128" s="26" t="s">
        <v>139</v>
      </c>
      <c r="B128" s="26">
        <f>B123</f>
        <v>1</v>
      </c>
      <c r="C128" s="26" t="str">
        <f>B125</f>
        <v>unit</v>
      </c>
      <c r="D128" s="26" t="s">
        <v>2</v>
      </c>
      <c r="E128" s="26" t="s">
        <v>29</v>
      </c>
      <c r="F128" s="26" t="str">
        <f>B122</f>
        <v>RER</v>
      </c>
      <c r="G128" s="26" t="s">
        <v>30</v>
      </c>
      <c r="H128" s="26">
        <v>0</v>
      </c>
      <c r="I128" s="26">
        <f>B128</f>
        <v>1</v>
      </c>
      <c r="J128" s="26" t="s">
        <v>31</v>
      </c>
      <c r="K128" s="26" t="s">
        <v>31</v>
      </c>
      <c r="L128" s="26" t="s">
        <v>31</v>
      </c>
      <c r="M128" s="26" t="s">
        <v>31</v>
      </c>
      <c r="N128" s="26"/>
    </row>
    <row r="129" spans="1:14">
      <c r="A129" s="32" t="s">
        <v>112</v>
      </c>
      <c r="B129" s="34">
        <v>100</v>
      </c>
      <c r="C129" s="26" t="s">
        <v>113</v>
      </c>
      <c r="D129" s="26" t="s">
        <v>43</v>
      </c>
      <c r="E129" s="26" t="s">
        <v>114</v>
      </c>
      <c r="F129" s="26" t="s">
        <v>29</v>
      </c>
      <c r="G129" s="26" t="s">
        <v>45</v>
      </c>
      <c r="H129" s="26">
        <v>0</v>
      </c>
      <c r="I129" s="26">
        <v>49625</v>
      </c>
      <c r="J129" s="26" t="s">
        <v>31</v>
      </c>
      <c r="K129" s="26" t="s">
        <v>31</v>
      </c>
      <c r="L129" s="26" t="s">
        <v>31</v>
      </c>
      <c r="M129" s="26" t="s">
        <v>31</v>
      </c>
      <c r="N129" s="26" t="s">
        <v>115</v>
      </c>
    </row>
    <row r="130" spans="1:14">
      <c r="A130" s="32" t="s">
        <v>116</v>
      </c>
      <c r="B130" s="34">
        <f>B129*100</f>
        <v>10000</v>
      </c>
      <c r="C130" s="26" t="s">
        <v>117</v>
      </c>
      <c r="D130" s="26" t="s">
        <v>43</v>
      </c>
      <c r="E130" s="26" t="s">
        <v>114</v>
      </c>
      <c r="F130" s="26" t="s">
        <v>29</v>
      </c>
      <c r="G130" s="26" t="s">
        <v>45</v>
      </c>
      <c r="H130" s="26">
        <v>0</v>
      </c>
      <c r="I130" s="26">
        <v>4962500</v>
      </c>
      <c r="J130" s="26" t="s">
        <v>31</v>
      </c>
      <c r="K130" s="26" t="s">
        <v>31</v>
      </c>
      <c r="L130" s="26" t="s">
        <v>31</v>
      </c>
      <c r="M130" s="26" t="s">
        <v>31</v>
      </c>
      <c r="N130" s="26" t="s">
        <v>118</v>
      </c>
    </row>
    <row r="131" spans="1:14" s="26" customFormat="1" ht="12.75">
      <c r="A131" s="83" t="s">
        <v>127</v>
      </c>
      <c r="B131" s="34">
        <f>B129*0.5*P7</f>
        <v>150.01500150015002</v>
      </c>
      <c r="C131" s="26" t="s">
        <v>42</v>
      </c>
      <c r="D131" s="26" t="s">
        <v>40</v>
      </c>
      <c r="E131" s="26" t="s">
        <v>29</v>
      </c>
      <c r="F131" s="26" t="s">
        <v>128</v>
      </c>
      <c r="G131" s="26" t="s">
        <v>33</v>
      </c>
      <c r="H131" s="26">
        <v>0</v>
      </c>
      <c r="I131" s="26">
        <f t="shared" ref="I131" si="7">B131</f>
        <v>150.01500150015002</v>
      </c>
      <c r="J131" s="26" t="s">
        <v>31</v>
      </c>
      <c r="K131" s="26" t="s">
        <v>31</v>
      </c>
      <c r="L131" s="26" t="s">
        <v>31</v>
      </c>
      <c r="M131" s="26" t="s">
        <v>31</v>
      </c>
      <c r="N131" s="26" t="s">
        <v>156</v>
      </c>
    </row>
    <row r="132" spans="1:14" ht="15.75">
      <c r="A132" s="29" t="s">
        <v>5</v>
      </c>
      <c r="B132" s="29" t="s">
        <v>141</v>
      </c>
      <c r="C132" s="30"/>
      <c r="D132" s="31"/>
      <c r="E132" s="31"/>
      <c r="F132" s="31"/>
      <c r="G132" s="31"/>
      <c r="H132" s="31"/>
      <c r="I132" s="31"/>
      <c r="J132" s="31"/>
      <c r="K132" s="31"/>
      <c r="L132" s="31"/>
      <c r="M132" s="31"/>
      <c r="N132" s="31"/>
    </row>
    <row r="133" spans="1:14">
      <c r="A133" s="26" t="s">
        <v>7</v>
      </c>
      <c r="B133" s="26" t="s">
        <v>59</v>
      </c>
      <c r="C133" s="26"/>
      <c r="D133" s="26"/>
      <c r="E133" s="26"/>
      <c r="F133" s="26"/>
      <c r="G133" s="26"/>
      <c r="H133" s="26"/>
      <c r="I133" s="26"/>
      <c r="J133" s="26"/>
      <c r="K133" s="26"/>
      <c r="L133" s="26"/>
      <c r="M133" s="26"/>
      <c r="N133" s="26"/>
    </row>
    <row r="134" spans="1:14">
      <c r="A134" s="26" t="s">
        <v>9</v>
      </c>
      <c r="B134" s="26" t="s">
        <v>157</v>
      </c>
      <c r="C134" s="26"/>
      <c r="D134" s="26"/>
      <c r="E134" s="26"/>
      <c r="F134" s="26"/>
      <c r="G134" s="26"/>
      <c r="H134" s="26"/>
      <c r="I134" s="26"/>
      <c r="J134" s="26"/>
      <c r="K134" s="26"/>
      <c r="L134" s="26"/>
      <c r="M134" s="26"/>
      <c r="N134" s="26"/>
    </row>
    <row r="135" spans="1:14">
      <c r="A135" s="26" t="s">
        <v>11</v>
      </c>
      <c r="B135" s="26" t="s">
        <v>158</v>
      </c>
      <c r="C135" s="26"/>
      <c r="D135" s="26"/>
      <c r="E135" s="26"/>
      <c r="F135" s="26"/>
      <c r="G135" s="26"/>
      <c r="H135" s="26"/>
      <c r="I135" s="26"/>
      <c r="J135" s="26"/>
      <c r="K135" s="26"/>
      <c r="L135" s="26"/>
      <c r="M135" s="26"/>
      <c r="N135" s="26"/>
    </row>
    <row r="136" spans="1:14">
      <c r="A136" s="26" t="s">
        <v>13</v>
      </c>
      <c r="B136" s="26" t="s">
        <v>35</v>
      </c>
      <c r="C136" s="26"/>
      <c r="D136" s="26"/>
      <c r="E136" s="26"/>
      <c r="F136" s="26"/>
      <c r="G136" s="26"/>
      <c r="H136" s="26"/>
      <c r="I136" s="26"/>
      <c r="J136" s="26"/>
      <c r="K136" s="26"/>
      <c r="L136" s="26"/>
      <c r="M136" s="26"/>
      <c r="N136" s="26"/>
    </row>
    <row r="137" spans="1:14">
      <c r="A137" s="26" t="s">
        <v>15</v>
      </c>
      <c r="B137" s="32">
        <v>1</v>
      </c>
      <c r="C137" s="26"/>
      <c r="D137" s="26"/>
      <c r="E137" s="26"/>
      <c r="F137" s="26"/>
      <c r="G137" s="26"/>
      <c r="H137" s="26"/>
      <c r="I137" s="26"/>
      <c r="J137" s="26"/>
      <c r="K137" s="26"/>
      <c r="L137" s="26"/>
      <c r="M137" s="26"/>
      <c r="N137" s="26"/>
    </row>
    <row r="138" spans="1:14">
      <c r="A138" s="26" t="s">
        <v>16</v>
      </c>
      <c r="B138" s="26" t="s">
        <v>17</v>
      </c>
      <c r="C138" s="26"/>
      <c r="D138" s="26"/>
      <c r="E138" s="26"/>
      <c r="F138" s="26"/>
      <c r="G138" s="26"/>
      <c r="H138" s="26"/>
      <c r="I138" s="26"/>
      <c r="J138" s="26"/>
      <c r="K138" s="26"/>
      <c r="L138" s="26"/>
      <c r="M138" s="26"/>
      <c r="N138" s="26"/>
    </row>
    <row r="139" spans="1:14">
      <c r="A139" s="26" t="s">
        <v>18</v>
      </c>
      <c r="B139" s="26" t="s">
        <v>18</v>
      </c>
      <c r="C139" s="26"/>
      <c r="D139" s="26"/>
      <c r="E139" s="26"/>
      <c r="F139" s="26"/>
      <c r="G139" s="26"/>
      <c r="H139" s="26"/>
      <c r="I139" s="26"/>
      <c r="J139" s="26"/>
      <c r="K139" s="26"/>
      <c r="L139" s="26"/>
      <c r="M139" s="26"/>
      <c r="N139" s="26"/>
    </row>
    <row r="140" spans="1:14" ht="15.75">
      <c r="A140" s="27" t="s">
        <v>19</v>
      </c>
    </row>
    <row r="141" spans="1:14" ht="15.75">
      <c r="A141" s="27" t="s">
        <v>20</v>
      </c>
      <c r="B141" s="27" t="s">
        <v>21</v>
      </c>
      <c r="C141" s="27" t="s">
        <v>18</v>
      </c>
      <c r="D141" s="27" t="s">
        <v>22</v>
      </c>
      <c r="E141" s="27" t="s">
        <v>7</v>
      </c>
      <c r="F141" s="27" t="s">
        <v>13</v>
      </c>
      <c r="G141" s="27" t="s">
        <v>16</v>
      </c>
      <c r="H141" s="27" t="s">
        <v>23</v>
      </c>
      <c r="I141" s="27" t="s">
        <v>24</v>
      </c>
      <c r="J141" s="27" t="s">
        <v>25</v>
      </c>
      <c r="K141" s="27" t="s">
        <v>26</v>
      </c>
      <c r="L141" s="27" t="s">
        <v>27</v>
      </c>
      <c r="M141" s="27" t="s">
        <v>28</v>
      </c>
      <c r="N141" s="27" t="s">
        <v>68</v>
      </c>
    </row>
    <row r="142" spans="1:14">
      <c r="A142" s="26" t="s">
        <v>141</v>
      </c>
      <c r="B142" s="26">
        <f>B137</f>
        <v>1</v>
      </c>
      <c r="C142" s="26" t="str">
        <f>B139</f>
        <v>unit</v>
      </c>
      <c r="D142" s="26" t="s">
        <v>2</v>
      </c>
      <c r="E142" s="26" t="s">
        <v>29</v>
      </c>
      <c r="F142" s="26" t="str">
        <f>B136</f>
        <v>RER</v>
      </c>
      <c r="G142" s="26" t="s">
        <v>30</v>
      </c>
      <c r="H142" s="26">
        <v>0</v>
      </c>
      <c r="I142" s="26">
        <f>B142</f>
        <v>1</v>
      </c>
      <c r="J142" s="26" t="s">
        <v>31</v>
      </c>
      <c r="K142" s="26" t="s">
        <v>31</v>
      </c>
      <c r="L142" s="26" t="s">
        <v>31</v>
      </c>
      <c r="M142" s="26" t="s">
        <v>31</v>
      </c>
      <c r="N142" s="26"/>
    </row>
    <row r="143" spans="1:14" s="26" customFormat="1" ht="12.75">
      <c r="A143" s="32" t="s">
        <v>125</v>
      </c>
      <c r="B143" s="26">
        <v>98000</v>
      </c>
      <c r="C143" s="26" t="s">
        <v>113</v>
      </c>
      <c r="D143" s="26" t="s">
        <v>43</v>
      </c>
      <c r="E143" s="26" t="s">
        <v>114</v>
      </c>
      <c r="F143" s="26" t="s">
        <v>29</v>
      </c>
      <c r="G143" s="26" t="s">
        <v>45</v>
      </c>
      <c r="H143" s="26">
        <v>0</v>
      </c>
      <c r="I143" s="26">
        <f>B143</f>
        <v>98000</v>
      </c>
      <c r="J143" s="26" t="s">
        <v>31</v>
      </c>
      <c r="K143" s="26" t="s">
        <v>31</v>
      </c>
      <c r="L143" s="26" t="s">
        <v>31</v>
      </c>
      <c r="M143" s="26" t="s">
        <v>31</v>
      </c>
      <c r="N143" s="26" t="s">
        <v>115</v>
      </c>
    </row>
    <row r="144" spans="1:14" s="26" customFormat="1" ht="12.75">
      <c r="A144" s="26" t="s">
        <v>126</v>
      </c>
      <c r="B144" s="26">
        <f>100*B143</f>
        <v>9800000</v>
      </c>
      <c r="C144" s="26" t="s">
        <v>117</v>
      </c>
      <c r="D144" s="26" t="s">
        <v>43</v>
      </c>
      <c r="E144" s="26" t="s">
        <v>114</v>
      </c>
      <c r="F144" s="26" t="s">
        <v>29</v>
      </c>
      <c r="G144" s="26" t="s">
        <v>45</v>
      </c>
      <c r="H144" s="26">
        <v>0</v>
      </c>
      <c r="I144" s="26">
        <f>B144</f>
        <v>9800000</v>
      </c>
      <c r="J144" s="26" t="s">
        <v>31</v>
      </c>
      <c r="K144" s="26" t="s">
        <v>31</v>
      </c>
      <c r="L144" s="26" t="s">
        <v>31</v>
      </c>
      <c r="M144" s="26" t="s">
        <v>31</v>
      </c>
      <c r="N144" s="26" t="s">
        <v>118</v>
      </c>
    </row>
    <row r="145" spans="1:14" s="26" customFormat="1" ht="12.75">
      <c r="A145" s="83" t="s">
        <v>159</v>
      </c>
      <c r="B145" s="34">
        <f>B143*0.22*P7</f>
        <v>64686.468646864683</v>
      </c>
      <c r="C145" s="26" t="s">
        <v>42</v>
      </c>
      <c r="D145" s="26" t="s">
        <v>40</v>
      </c>
      <c r="E145" s="26" t="s">
        <v>29</v>
      </c>
      <c r="F145" s="26" t="s">
        <v>58</v>
      </c>
      <c r="G145" s="26" t="s">
        <v>33</v>
      </c>
      <c r="H145" s="26">
        <v>0</v>
      </c>
      <c r="I145" s="26">
        <f t="shared" ref="I145:I150" si="8">B145</f>
        <v>64686.468646864683</v>
      </c>
      <c r="J145" s="26" t="s">
        <v>31</v>
      </c>
      <c r="K145" s="26" t="s">
        <v>31</v>
      </c>
      <c r="L145" s="26" t="s">
        <v>31</v>
      </c>
      <c r="M145" s="26" t="s">
        <v>31</v>
      </c>
      <c r="N145" s="26" t="s">
        <v>160</v>
      </c>
    </row>
    <row r="146" spans="1:14" s="26" customFormat="1" ht="12.75">
      <c r="A146" s="82" t="s">
        <v>161</v>
      </c>
      <c r="B146" s="26">
        <f>1.8*B143*P7</f>
        <v>529252.92529252928</v>
      </c>
      <c r="C146" s="26" t="s">
        <v>37</v>
      </c>
      <c r="D146" s="26" t="s">
        <v>40</v>
      </c>
      <c r="E146" s="26" t="s">
        <v>29</v>
      </c>
      <c r="F146" s="26" t="s">
        <v>58</v>
      </c>
      <c r="G146" s="26" t="s">
        <v>33</v>
      </c>
      <c r="H146" s="26">
        <v>0</v>
      </c>
      <c r="I146" s="26">
        <f t="shared" si="8"/>
        <v>529252.92529252928</v>
      </c>
      <c r="J146" s="26" t="s">
        <v>31</v>
      </c>
      <c r="K146" s="26" t="s">
        <v>31</v>
      </c>
      <c r="L146" s="26" t="s">
        <v>31</v>
      </c>
      <c r="M146" s="26" t="s">
        <v>31</v>
      </c>
      <c r="N146" s="26" t="s">
        <v>162</v>
      </c>
    </row>
    <row r="147" spans="1:14" s="26" customFormat="1" ht="12.75">
      <c r="A147" s="26" t="s">
        <v>163</v>
      </c>
      <c r="B147" s="26">
        <f>0.4*1600*B143</f>
        <v>62720000</v>
      </c>
      <c r="C147" s="26" t="s">
        <v>37</v>
      </c>
      <c r="D147" s="26" t="s">
        <v>40</v>
      </c>
      <c r="E147" s="26" t="s">
        <v>29</v>
      </c>
      <c r="F147" s="26" t="s">
        <v>164</v>
      </c>
      <c r="G147" s="26" t="s">
        <v>33</v>
      </c>
      <c r="H147" s="26">
        <v>0</v>
      </c>
      <c r="I147" s="26">
        <f t="shared" si="8"/>
        <v>62720000</v>
      </c>
      <c r="J147" s="26" t="s">
        <v>31</v>
      </c>
      <c r="K147" s="26" t="s">
        <v>31</v>
      </c>
      <c r="L147" s="26" t="s">
        <v>31</v>
      </c>
      <c r="M147" s="26" t="s">
        <v>31</v>
      </c>
      <c r="N147" s="26" t="s">
        <v>165</v>
      </c>
    </row>
    <row r="148" spans="1:14" s="26" customFormat="1" ht="12.75">
      <c r="A148" s="26" t="s">
        <v>166</v>
      </c>
      <c r="B148" s="26">
        <f>0.747*B143</f>
        <v>73206</v>
      </c>
      <c r="C148" s="26" t="s">
        <v>42</v>
      </c>
      <c r="D148" s="26" t="s">
        <v>40</v>
      </c>
      <c r="E148" s="26" t="s">
        <v>29</v>
      </c>
      <c r="F148" s="26" t="s">
        <v>35</v>
      </c>
      <c r="G148" s="26" t="s">
        <v>33</v>
      </c>
      <c r="H148" s="26">
        <v>0</v>
      </c>
      <c r="I148" s="26">
        <f t="shared" si="8"/>
        <v>73206</v>
      </c>
      <c r="J148" s="26" t="s">
        <v>31</v>
      </c>
      <c r="K148" s="26" t="s">
        <v>31</v>
      </c>
      <c r="L148" s="26" t="s">
        <v>31</v>
      </c>
      <c r="M148" s="26" t="s">
        <v>31</v>
      </c>
      <c r="N148" s="26" t="s">
        <v>167</v>
      </c>
    </row>
    <row r="149" spans="1:14" s="26" customFormat="1" ht="12.75">
      <c r="A149" s="26" t="s">
        <v>75</v>
      </c>
      <c r="B149" s="26">
        <f>35.7*B143</f>
        <v>3498600.0000000005</v>
      </c>
      <c r="C149" s="26" t="s">
        <v>39</v>
      </c>
      <c r="D149" s="26" t="s">
        <v>40</v>
      </c>
      <c r="E149" s="26" t="s">
        <v>29</v>
      </c>
      <c r="F149" s="26" t="s">
        <v>35</v>
      </c>
      <c r="G149" s="26" t="s">
        <v>33</v>
      </c>
      <c r="H149" s="26">
        <v>0</v>
      </c>
      <c r="I149" s="26">
        <f t="shared" si="8"/>
        <v>3498600.0000000005</v>
      </c>
      <c r="J149" s="26" t="s">
        <v>31</v>
      </c>
      <c r="K149" s="26" t="s">
        <v>31</v>
      </c>
      <c r="L149" s="26" t="s">
        <v>31</v>
      </c>
      <c r="M149" s="26" t="s">
        <v>31</v>
      </c>
      <c r="N149" s="26" t="s">
        <v>168</v>
      </c>
    </row>
    <row r="150" spans="1:14" s="26" customFormat="1" ht="12.75">
      <c r="A150" s="26" t="s">
        <v>169</v>
      </c>
      <c r="B150" s="26">
        <f>250.5*B143</f>
        <v>24549000</v>
      </c>
      <c r="C150" s="26" t="s">
        <v>170</v>
      </c>
      <c r="D150" s="26" t="s">
        <v>40</v>
      </c>
      <c r="E150" s="26" t="s">
        <v>29</v>
      </c>
      <c r="F150" s="26" t="s">
        <v>58</v>
      </c>
      <c r="G150" s="26" t="s">
        <v>33</v>
      </c>
      <c r="H150" s="26">
        <v>0</v>
      </c>
      <c r="I150" s="26">
        <f t="shared" si="8"/>
        <v>24549000</v>
      </c>
      <c r="J150" s="26" t="s">
        <v>31</v>
      </c>
      <c r="K150" s="26" t="s">
        <v>31</v>
      </c>
      <c r="L150" s="26" t="s">
        <v>31</v>
      </c>
      <c r="M150" s="26" t="s">
        <v>31</v>
      </c>
      <c r="N150" s="26" t="s">
        <v>171</v>
      </c>
    </row>
    <row r="151" spans="1:14" s="26" customFormat="1" ht="15.75">
      <c r="A151" s="29" t="s">
        <v>5</v>
      </c>
      <c r="B151" s="29" t="s">
        <v>143</v>
      </c>
      <c r="C151" s="30"/>
      <c r="D151" s="31"/>
      <c r="E151" s="31"/>
      <c r="F151" s="31"/>
      <c r="G151" s="31"/>
      <c r="H151" s="31"/>
      <c r="I151" s="31"/>
      <c r="J151" s="31"/>
      <c r="K151" s="31"/>
      <c r="L151" s="31"/>
      <c r="M151" s="31"/>
      <c r="N151" s="31"/>
    </row>
    <row r="152" spans="1:14" s="26" customFormat="1" ht="12.75">
      <c r="A152" s="26" t="s">
        <v>7</v>
      </c>
      <c r="B152" s="26" t="s">
        <v>59</v>
      </c>
    </row>
    <row r="153" spans="1:14" s="26" customFormat="1" ht="12.75">
      <c r="A153" s="26" t="s">
        <v>9</v>
      </c>
      <c r="B153" s="26" t="s">
        <v>172</v>
      </c>
    </row>
    <row r="154" spans="1:14" s="26" customFormat="1" ht="12.75">
      <c r="A154" s="26" t="s">
        <v>11</v>
      </c>
      <c r="B154" s="26" t="s">
        <v>173</v>
      </c>
    </row>
    <row r="155" spans="1:14" s="26" customFormat="1" ht="12.75">
      <c r="A155" s="26" t="s">
        <v>13</v>
      </c>
      <c r="B155" s="26" t="s">
        <v>35</v>
      </c>
    </row>
    <row r="156" spans="1:14" s="26" customFormat="1" ht="12.75">
      <c r="A156" s="26" t="s">
        <v>15</v>
      </c>
      <c r="B156" s="32">
        <v>1</v>
      </c>
    </row>
    <row r="157" spans="1:14" s="26" customFormat="1" ht="12.75">
      <c r="A157" s="26" t="s">
        <v>16</v>
      </c>
      <c r="B157" s="26" t="s">
        <v>17</v>
      </c>
    </row>
    <row r="158" spans="1:14" s="26" customFormat="1" ht="12.75">
      <c r="A158" s="26" t="s">
        <v>18</v>
      </c>
      <c r="B158" s="26" t="s">
        <v>18</v>
      </c>
    </row>
    <row r="159" spans="1:14" ht="15.75">
      <c r="A159" s="27" t="s">
        <v>19</v>
      </c>
    </row>
    <row r="160" spans="1:14" ht="15.75">
      <c r="A160" s="27" t="s">
        <v>20</v>
      </c>
      <c r="B160" s="27" t="s">
        <v>21</v>
      </c>
      <c r="C160" s="27" t="s">
        <v>18</v>
      </c>
      <c r="D160" s="27" t="s">
        <v>22</v>
      </c>
      <c r="E160" s="27" t="s">
        <v>7</v>
      </c>
      <c r="F160" s="27" t="s">
        <v>13</v>
      </c>
      <c r="G160" s="27" t="s">
        <v>16</v>
      </c>
      <c r="H160" s="27" t="s">
        <v>23</v>
      </c>
      <c r="I160" s="27" t="s">
        <v>24</v>
      </c>
      <c r="J160" s="27" t="s">
        <v>25</v>
      </c>
      <c r="K160" s="27" t="s">
        <v>26</v>
      </c>
      <c r="L160" s="27" t="s">
        <v>27</v>
      </c>
      <c r="M160" s="27" t="s">
        <v>28</v>
      </c>
      <c r="N160" s="27" t="s">
        <v>68</v>
      </c>
    </row>
    <row r="161" spans="1:14">
      <c r="A161" s="26" t="s">
        <v>143</v>
      </c>
      <c r="B161" s="26">
        <f>B156</f>
        <v>1</v>
      </c>
      <c r="C161" s="26" t="str">
        <f>B158</f>
        <v>unit</v>
      </c>
      <c r="D161" s="26" t="s">
        <v>2</v>
      </c>
      <c r="E161" s="26" t="s">
        <v>29</v>
      </c>
      <c r="F161" s="26" t="str">
        <f>B155</f>
        <v>RER</v>
      </c>
      <c r="G161" s="26" t="s">
        <v>30</v>
      </c>
      <c r="H161" s="26">
        <v>0</v>
      </c>
      <c r="I161" s="26">
        <f>B161</f>
        <v>1</v>
      </c>
      <c r="J161" s="26" t="s">
        <v>31</v>
      </c>
      <c r="K161" s="26" t="s">
        <v>31</v>
      </c>
      <c r="L161" s="26" t="s">
        <v>31</v>
      </c>
      <c r="M161" s="26" t="s">
        <v>31</v>
      </c>
      <c r="N161" s="26"/>
    </row>
    <row r="162" spans="1:14">
      <c r="A162" s="32" t="s">
        <v>125</v>
      </c>
      <c r="B162" s="26">
        <v>78720</v>
      </c>
      <c r="C162" s="26" t="s">
        <v>113</v>
      </c>
      <c r="D162" s="26" t="s">
        <v>39</v>
      </c>
      <c r="E162" s="26" t="s">
        <v>114</v>
      </c>
      <c r="F162" s="26" t="s">
        <v>29</v>
      </c>
      <c r="G162" s="26" t="s">
        <v>45</v>
      </c>
      <c r="H162" s="26">
        <v>0</v>
      </c>
      <c r="I162" s="26">
        <f>B162</f>
        <v>78720</v>
      </c>
      <c r="J162" s="26" t="s">
        <v>31</v>
      </c>
      <c r="K162" s="26" t="s">
        <v>31</v>
      </c>
      <c r="L162" s="26" t="s">
        <v>31</v>
      </c>
      <c r="M162" s="26" t="s">
        <v>31</v>
      </c>
      <c r="N162" s="26" t="s">
        <v>115</v>
      </c>
    </row>
    <row r="163" spans="1:14">
      <c r="A163" s="26" t="s">
        <v>126</v>
      </c>
      <c r="B163" s="26">
        <f>100*B162</f>
        <v>7872000</v>
      </c>
      <c r="C163" s="26" t="s">
        <v>117</v>
      </c>
      <c r="D163" s="26" t="s">
        <v>43</v>
      </c>
      <c r="E163" s="26" t="s">
        <v>114</v>
      </c>
      <c r="F163" s="26" t="s">
        <v>29</v>
      </c>
      <c r="G163" s="26" t="s">
        <v>45</v>
      </c>
      <c r="H163" s="26">
        <v>0</v>
      </c>
      <c r="I163" s="26">
        <f>B163</f>
        <v>7872000</v>
      </c>
      <c r="J163" s="26" t="s">
        <v>31</v>
      </c>
      <c r="K163" s="26" t="s">
        <v>31</v>
      </c>
      <c r="L163" s="26" t="s">
        <v>31</v>
      </c>
      <c r="M163" s="26" t="s">
        <v>31</v>
      </c>
      <c r="N163" s="26" t="s">
        <v>118</v>
      </c>
    </row>
    <row r="164" spans="1:14">
      <c r="A164" s="83" t="s">
        <v>159</v>
      </c>
      <c r="B164" s="34">
        <f>B162*0.22*P7</f>
        <v>51960.396039603962</v>
      </c>
      <c r="C164" s="26" t="s">
        <v>42</v>
      </c>
      <c r="D164" s="26" t="s">
        <v>40</v>
      </c>
      <c r="E164" s="26" t="s">
        <v>29</v>
      </c>
      <c r="F164" s="26" t="s">
        <v>58</v>
      </c>
      <c r="G164" s="26" t="s">
        <v>33</v>
      </c>
      <c r="H164" s="26">
        <v>0</v>
      </c>
      <c r="I164" s="26">
        <f t="shared" ref="I164:I169" si="9">B164</f>
        <v>51960.396039603962</v>
      </c>
      <c r="J164" s="26" t="s">
        <v>31</v>
      </c>
      <c r="K164" s="26" t="s">
        <v>31</v>
      </c>
      <c r="L164" s="26" t="s">
        <v>31</v>
      </c>
      <c r="M164" s="26" t="s">
        <v>31</v>
      </c>
      <c r="N164" s="26" t="s">
        <v>160</v>
      </c>
    </row>
    <row r="165" spans="1:14">
      <c r="A165" s="82" t="s">
        <v>161</v>
      </c>
      <c r="B165" s="26">
        <f>1.8*B162*P7</f>
        <v>425130.51305130514</v>
      </c>
      <c r="C165" s="26" t="s">
        <v>37</v>
      </c>
      <c r="D165" s="26" t="s">
        <v>40</v>
      </c>
      <c r="E165" s="26" t="s">
        <v>29</v>
      </c>
      <c r="F165" s="26" t="s">
        <v>58</v>
      </c>
      <c r="G165" s="26" t="s">
        <v>33</v>
      </c>
      <c r="H165" s="26">
        <v>0</v>
      </c>
      <c r="I165" s="26">
        <f t="shared" si="9"/>
        <v>425130.51305130514</v>
      </c>
      <c r="J165" s="26" t="s">
        <v>31</v>
      </c>
      <c r="K165" s="26" t="s">
        <v>31</v>
      </c>
      <c r="L165" s="26" t="s">
        <v>31</v>
      </c>
      <c r="M165" s="26" t="s">
        <v>31</v>
      </c>
      <c r="N165" s="26" t="s">
        <v>174</v>
      </c>
    </row>
    <row r="166" spans="1:14">
      <c r="A166" s="26" t="s">
        <v>163</v>
      </c>
      <c r="B166" s="26">
        <f>0.4*1600*B162</f>
        <v>50380800</v>
      </c>
      <c r="C166" s="26" t="s">
        <v>37</v>
      </c>
      <c r="D166" s="26" t="s">
        <v>40</v>
      </c>
      <c r="E166" s="26" t="s">
        <v>29</v>
      </c>
      <c r="F166" s="26" t="s">
        <v>164</v>
      </c>
      <c r="G166" s="26" t="s">
        <v>33</v>
      </c>
      <c r="H166" s="26">
        <v>0</v>
      </c>
      <c r="I166" s="26">
        <f t="shared" si="9"/>
        <v>50380800</v>
      </c>
      <c r="J166" s="26" t="s">
        <v>31</v>
      </c>
      <c r="K166" s="26" t="s">
        <v>31</v>
      </c>
      <c r="L166" s="26" t="s">
        <v>31</v>
      </c>
      <c r="M166" s="26" t="s">
        <v>31</v>
      </c>
      <c r="N166" s="26" t="s">
        <v>165</v>
      </c>
    </row>
    <row r="167" spans="1:14">
      <c r="A167" s="26" t="s">
        <v>166</v>
      </c>
      <c r="B167" s="26">
        <f>0.747*B162</f>
        <v>58803.839999999997</v>
      </c>
      <c r="C167" s="26" t="s">
        <v>42</v>
      </c>
      <c r="D167" s="26" t="s">
        <v>40</v>
      </c>
      <c r="E167" s="26" t="s">
        <v>29</v>
      </c>
      <c r="F167" s="26" t="s">
        <v>35</v>
      </c>
      <c r="G167" s="26" t="s">
        <v>33</v>
      </c>
      <c r="H167" s="26">
        <v>0</v>
      </c>
      <c r="I167" s="26">
        <f t="shared" si="9"/>
        <v>58803.839999999997</v>
      </c>
      <c r="J167" s="26" t="s">
        <v>31</v>
      </c>
      <c r="K167" s="26" t="s">
        <v>31</v>
      </c>
      <c r="L167" s="26" t="s">
        <v>31</v>
      </c>
      <c r="M167" s="26" t="s">
        <v>31</v>
      </c>
      <c r="N167" s="26" t="s">
        <v>167</v>
      </c>
    </row>
    <row r="168" spans="1:14" s="26" customFormat="1" ht="12.75">
      <c r="A168" s="26" t="s">
        <v>75</v>
      </c>
      <c r="B168" s="26">
        <f>35.7*B162</f>
        <v>2810304</v>
      </c>
      <c r="C168" s="26" t="s">
        <v>39</v>
      </c>
      <c r="D168" s="26" t="s">
        <v>40</v>
      </c>
      <c r="E168" s="26" t="s">
        <v>29</v>
      </c>
      <c r="F168" s="26" t="s">
        <v>35</v>
      </c>
      <c r="G168" s="26" t="s">
        <v>33</v>
      </c>
      <c r="H168" s="26">
        <v>0</v>
      </c>
      <c r="I168" s="26">
        <f t="shared" si="9"/>
        <v>2810304</v>
      </c>
      <c r="J168" s="26" t="s">
        <v>31</v>
      </c>
      <c r="K168" s="26" t="s">
        <v>31</v>
      </c>
      <c r="L168" s="26" t="s">
        <v>31</v>
      </c>
      <c r="M168" s="26" t="s">
        <v>31</v>
      </c>
      <c r="N168" s="26" t="s">
        <v>168</v>
      </c>
    </row>
    <row r="169" spans="1:14" s="26" customFormat="1" ht="12.75">
      <c r="A169" s="26" t="s">
        <v>169</v>
      </c>
      <c r="B169" s="26">
        <f>250.5*B162</f>
        <v>19719360</v>
      </c>
      <c r="C169" s="26" t="s">
        <v>170</v>
      </c>
      <c r="D169" s="26" t="s">
        <v>40</v>
      </c>
      <c r="E169" s="26" t="s">
        <v>29</v>
      </c>
      <c r="F169" s="26" t="s">
        <v>58</v>
      </c>
      <c r="G169" s="26" t="s">
        <v>33</v>
      </c>
      <c r="H169" s="26">
        <v>0</v>
      </c>
      <c r="I169" s="26">
        <f t="shared" si="9"/>
        <v>19719360</v>
      </c>
      <c r="J169" s="26" t="s">
        <v>31</v>
      </c>
      <c r="K169" s="26" t="s">
        <v>31</v>
      </c>
      <c r="L169" s="26" t="s">
        <v>31</v>
      </c>
      <c r="M169" s="26" t="s">
        <v>31</v>
      </c>
      <c r="N169" s="26" t="s">
        <v>171</v>
      </c>
    </row>
    <row r="170" spans="1:14" s="26" customFormat="1" ht="15.75">
      <c r="A170" s="29" t="s">
        <v>5</v>
      </c>
      <c r="B170" s="29" t="s">
        <v>145</v>
      </c>
      <c r="C170" s="30"/>
      <c r="D170" s="31"/>
      <c r="E170" s="31"/>
      <c r="F170" s="31"/>
      <c r="G170" s="31"/>
      <c r="H170" s="31"/>
      <c r="I170" s="31"/>
      <c r="J170" s="31"/>
      <c r="K170" s="31"/>
      <c r="L170" s="31"/>
      <c r="M170" s="31"/>
      <c r="N170" s="31"/>
    </row>
    <row r="171" spans="1:14" s="26" customFormat="1" ht="12.75">
      <c r="A171" s="26" t="s">
        <v>7</v>
      </c>
      <c r="B171" s="26" t="s">
        <v>59</v>
      </c>
    </row>
    <row r="172" spans="1:14" s="26" customFormat="1" ht="12.75">
      <c r="A172" s="26" t="s">
        <v>9</v>
      </c>
      <c r="B172" s="26" t="s">
        <v>175</v>
      </c>
    </row>
    <row r="173" spans="1:14" s="26" customFormat="1" ht="12.75">
      <c r="A173" s="26" t="s">
        <v>11</v>
      </c>
      <c r="B173" s="26" t="s">
        <v>176</v>
      </c>
    </row>
    <row r="174" spans="1:14" s="26" customFormat="1" ht="12.75">
      <c r="A174" s="26" t="s">
        <v>13</v>
      </c>
      <c r="B174" s="26" t="s">
        <v>35</v>
      </c>
    </row>
    <row r="175" spans="1:14" s="26" customFormat="1" ht="12.75">
      <c r="A175" s="26" t="s">
        <v>15</v>
      </c>
      <c r="B175" s="32">
        <v>1</v>
      </c>
    </row>
    <row r="176" spans="1:14" s="26" customFormat="1" ht="12.75">
      <c r="A176" s="26" t="s">
        <v>16</v>
      </c>
      <c r="B176" s="26" t="s">
        <v>17</v>
      </c>
    </row>
    <row r="177" spans="1:14" s="26" customFormat="1" ht="12.75">
      <c r="A177" s="26" t="s">
        <v>18</v>
      </c>
      <c r="B177" s="26" t="s">
        <v>18</v>
      </c>
    </row>
    <row r="178" spans="1:14" ht="15.75">
      <c r="A178" s="27" t="s">
        <v>19</v>
      </c>
    </row>
    <row r="179" spans="1:14" ht="15.75">
      <c r="A179" s="27" t="s">
        <v>20</v>
      </c>
      <c r="B179" s="27" t="s">
        <v>21</v>
      </c>
      <c r="C179" s="27" t="s">
        <v>18</v>
      </c>
      <c r="D179" s="27" t="s">
        <v>22</v>
      </c>
      <c r="E179" s="27" t="s">
        <v>7</v>
      </c>
      <c r="F179" s="27" t="s">
        <v>13</v>
      </c>
      <c r="G179" s="27" t="s">
        <v>16</v>
      </c>
      <c r="H179" s="27" t="s">
        <v>23</v>
      </c>
      <c r="I179" s="27" t="s">
        <v>24</v>
      </c>
      <c r="J179" s="27" t="s">
        <v>25</v>
      </c>
      <c r="K179" s="27" t="s">
        <v>26</v>
      </c>
      <c r="L179" s="27" t="s">
        <v>27</v>
      </c>
      <c r="M179" s="27" t="s">
        <v>28</v>
      </c>
      <c r="N179" s="27" t="s">
        <v>68</v>
      </c>
    </row>
    <row r="180" spans="1:14">
      <c r="A180" s="26" t="s">
        <v>145</v>
      </c>
      <c r="B180" s="26">
        <f>B175</f>
        <v>1</v>
      </c>
      <c r="C180" s="26" t="str">
        <f>B177</f>
        <v>unit</v>
      </c>
      <c r="D180" s="26" t="s">
        <v>2</v>
      </c>
      <c r="E180" s="26" t="s">
        <v>29</v>
      </c>
      <c r="F180" s="26" t="str">
        <f>B174</f>
        <v>RER</v>
      </c>
      <c r="G180" s="26" t="s">
        <v>30</v>
      </c>
      <c r="H180" s="26">
        <v>0</v>
      </c>
      <c r="I180" s="26">
        <f>B180</f>
        <v>1</v>
      </c>
      <c r="J180" s="26" t="s">
        <v>31</v>
      </c>
      <c r="K180" s="26" t="s">
        <v>31</v>
      </c>
      <c r="L180" s="26" t="s">
        <v>31</v>
      </c>
      <c r="M180" s="26" t="s">
        <v>31</v>
      </c>
      <c r="N180" s="26"/>
    </row>
    <row r="181" spans="1:14">
      <c r="A181" s="32" t="s">
        <v>125</v>
      </c>
      <c r="B181" s="26">
        <v>99000</v>
      </c>
      <c r="C181" s="26" t="s">
        <v>113</v>
      </c>
      <c r="D181" s="26" t="s">
        <v>43</v>
      </c>
      <c r="E181" s="26" t="s">
        <v>114</v>
      </c>
      <c r="F181" s="26" t="s">
        <v>29</v>
      </c>
      <c r="G181" s="26" t="s">
        <v>45</v>
      </c>
      <c r="H181" s="26">
        <v>0</v>
      </c>
      <c r="I181" s="26">
        <f>B181</f>
        <v>99000</v>
      </c>
      <c r="J181" s="26" t="s">
        <v>31</v>
      </c>
      <c r="K181" s="26" t="s">
        <v>31</v>
      </c>
      <c r="L181" s="26" t="s">
        <v>31</v>
      </c>
      <c r="M181" s="26" t="s">
        <v>31</v>
      </c>
      <c r="N181" s="26" t="s">
        <v>115</v>
      </c>
    </row>
    <row r="182" spans="1:14">
      <c r="A182" s="26" t="s">
        <v>126</v>
      </c>
      <c r="B182" s="26">
        <f>100*B181</f>
        <v>9900000</v>
      </c>
      <c r="C182" s="26" t="s">
        <v>117</v>
      </c>
      <c r="D182" s="26" t="s">
        <v>43</v>
      </c>
      <c r="E182" s="26" t="s">
        <v>114</v>
      </c>
      <c r="F182" s="26" t="s">
        <v>29</v>
      </c>
      <c r="G182" s="26" t="s">
        <v>45</v>
      </c>
      <c r="H182" s="26">
        <v>0</v>
      </c>
      <c r="I182" s="26">
        <f>B182</f>
        <v>9900000</v>
      </c>
      <c r="J182" s="26" t="s">
        <v>31</v>
      </c>
      <c r="K182" s="26" t="s">
        <v>31</v>
      </c>
      <c r="L182" s="26" t="s">
        <v>31</v>
      </c>
      <c r="M182" s="26" t="s">
        <v>31</v>
      </c>
      <c r="N182" s="26" t="s">
        <v>118</v>
      </c>
    </row>
    <row r="183" spans="1:14">
      <c r="A183" s="83" t="s">
        <v>159</v>
      </c>
      <c r="B183" s="34">
        <f>B181*0.22*P7</f>
        <v>65346.534653465344</v>
      </c>
      <c r="C183" s="26" t="s">
        <v>42</v>
      </c>
      <c r="D183" s="26" t="s">
        <v>40</v>
      </c>
      <c r="E183" s="26" t="s">
        <v>29</v>
      </c>
      <c r="F183" s="26" t="s">
        <v>58</v>
      </c>
      <c r="G183" s="26" t="s">
        <v>33</v>
      </c>
      <c r="H183" s="26">
        <v>0</v>
      </c>
      <c r="I183" s="26">
        <f t="shared" ref="I183:I188" si="10">B183</f>
        <v>65346.534653465344</v>
      </c>
      <c r="J183" s="26" t="s">
        <v>31</v>
      </c>
      <c r="K183" s="26" t="s">
        <v>31</v>
      </c>
      <c r="L183" s="26" t="s">
        <v>31</v>
      </c>
      <c r="M183" s="26" t="s">
        <v>31</v>
      </c>
      <c r="N183" s="26" t="s">
        <v>160</v>
      </c>
    </row>
    <row r="184" spans="1:14">
      <c r="A184" s="82" t="s">
        <v>161</v>
      </c>
      <c r="B184" s="26">
        <f>1.8*B181*P7</f>
        <v>534653.46534653462</v>
      </c>
      <c r="C184" s="26" t="s">
        <v>37</v>
      </c>
      <c r="D184" s="26" t="s">
        <v>40</v>
      </c>
      <c r="E184" s="26" t="s">
        <v>29</v>
      </c>
      <c r="F184" s="26" t="s">
        <v>58</v>
      </c>
      <c r="G184" s="26" t="s">
        <v>33</v>
      </c>
      <c r="H184" s="26">
        <v>0</v>
      </c>
      <c r="I184" s="26">
        <f t="shared" si="10"/>
        <v>534653.46534653462</v>
      </c>
      <c r="J184" s="26" t="s">
        <v>31</v>
      </c>
      <c r="K184" s="26" t="s">
        <v>31</v>
      </c>
      <c r="L184" s="26" t="s">
        <v>31</v>
      </c>
      <c r="M184" s="26" t="s">
        <v>31</v>
      </c>
      <c r="N184" s="26" t="s">
        <v>174</v>
      </c>
    </row>
    <row r="185" spans="1:14">
      <c r="A185" s="26" t="s">
        <v>163</v>
      </c>
      <c r="B185" s="26">
        <f>0.4*1600*B181</f>
        <v>63360000</v>
      </c>
      <c r="C185" s="26" t="s">
        <v>37</v>
      </c>
      <c r="D185" s="26" t="s">
        <v>40</v>
      </c>
      <c r="E185" s="26" t="s">
        <v>29</v>
      </c>
      <c r="F185" s="26" t="s">
        <v>164</v>
      </c>
      <c r="G185" s="26" t="s">
        <v>33</v>
      </c>
      <c r="H185" s="26">
        <v>0</v>
      </c>
      <c r="I185" s="26">
        <f t="shared" si="10"/>
        <v>63360000</v>
      </c>
      <c r="J185" s="26" t="s">
        <v>31</v>
      </c>
      <c r="K185" s="26" t="s">
        <v>31</v>
      </c>
      <c r="L185" s="26" t="s">
        <v>31</v>
      </c>
      <c r="M185" s="26" t="s">
        <v>31</v>
      </c>
      <c r="N185" s="26" t="s">
        <v>165</v>
      </c>
    </row>
    <row r="186" spans="1:14">
      <c r="A186" s="26" t="s">
        <v>166</v>
      </c>
      <c r="B186" s="26">
        <f>0.747*B181</f>
        <v>73953</v>
      </c>
      <c r="C186" s="26" t="s">
        <v>42</v>
      </c>
      <c r="D186" s="26" t="s">
        <v>40</v>
      </c>
      <c r="E186" s="26" t="s">
        <v>29</v>
      </c>
      <c r="F186" s="26" t="s">
        <v>35</v>
      </c>
      <c r="G186" s="26" t="s">
        <v>33</v>
      </c>
      <c r="H186" s="26">
        <v>0</v>
      </c>
      <c r="I186" s="26">
        <f t="shared" si="10"/>
        <v>73953</v>
      </c>
      <c r="J186" s="26" t="s">
        <v>31</v>
      </c>
      <c r="K186" s="26" t="s">
        <v>31</v>
      </c>
      <c r="L186" s="26" t="s">
        <v>31</v>
      </c>
      <c r="M186" s="26" t="s">
        <v>31</v>
      </c>
      <c r="N186" s="26" t="s">
        <v>167</v>
      </c>
    </row>
    <row r="187" spans="1:14" s="26" customFormat="1" ht="12.75">
      <c r="A187" s="26" t="s">
        <v>75</v>
      </c>
      <c r="B187" s="26">
        <f>35.7*B181</f>
        <v>3534300.0000000005</v>
      </c>
      <c r="C187" s="26" t="s">
        <v>39</v>
      </c>
      <c r="D187" s="26" t="s">
        <v>40</v>
      </c>
      <c r="E187" s="26" t="s">
        <v>29</v>
      </c>
      <c r="F187" s="26" t="s">
        <v>35</v>
      </c>
      <c r="G187" s="26" t="s">
        <v>33</v>
      </c>
      <c r="H187" s="26">
        <v>0</v>
      </c>
      <c r="I187" s="26">
        <f t="shared" si="10"/>
        <v>3534300.0000000005</v>
      </c>
      <c r="J187" s="26" t="s">
        <v>31</v>
      </c>
      <c r="K187" s="26" t="s">
        <v>31</v>
      </c>
      <c r="L187" s="26" t="s">
        <v>31</v>
      </c>
      <c r="M187" s="26" t="s">
        <v>31</v>
      </c>
      <c r="N187" s="26" t="s">
        <v>168</v>
      </c>
    </row>
    <row r="188" spans="1:14" s="26" customFormat="1" ht="12.75">
      <c r="A188" s="26" t="s">
        <v>169</v>
      </c>
      <c r="B188" s="26">
        <f>250.5*B181</f>
        <v>24799500</v>
      </c>
      <c r="C188" s="26" t="s">
        <v>170</v>
      </c>
      <c r="D188" s="26" t="s">
        <v>40</v>
      </c>
      <c r="E188" s="26" t="s">
        <v>29</v>
      </c>
      <c r="F188" s="26" t="s">
        <v>58</v>
      </c>
      <c r="G188" s="26" t="s">
        <v>33</v>
      </c>
      <c r="H188" s="26">
        <v>0</v>
      </c>
      <c r="I188" s="26">
        <f t="shared" si="10"/>
        <v>24799500</v>
      </c>
      <c r="J188" s="26" t="s">
        <v>31</v>
      </c>
      <c r="K188" s="26" t="s">
        <v>31</v>
      </c>
      <c r="L188" s="26" t="s">
        <v>31</v>
      </c>
      <c r="M188" s="26" t="s">
        <v>31</v>
      </c>
      <c r="N188" s="26" t="s">
        <v>171</v>
      </c>
    </row>
    <row r="189" spans="1:14" ht="15.75">
      <c r="A189" s="29" t="s">
        <v>5</v>
      </c>
      <c r="B189" s="29" t="s">
        <v>147</v>
      </c>
      <c r="C189" s="30"/>
      <c r="D189" s="31"/>
      <c r="E189" s="31"/>
      <c r="F189" s="31"/>
      <c r="G189" s="31"/>
      <c r="H189" s="31"/>
      <c r="I189" s="31"/>
      <c r="J189" s="31"/>
      <c r="K189" s="31"/>
      <c r="L189" s="31"/>
      <c r="M189" s="31"/>
      <c r="N189" s="31"/>
    </row>
    <row r="190" spans="1:14" s="26" customFormat="1" ht="12.75">
      <c r="A190" s="26" t="s">
        <v>7</v>
      </c>
      <c r="B190" s="26" t="s">
        <v>59</v>
      </c>
    </row>
    <row r="191" spans="1:14" s="26" customFormat="1" ht="12.75">
      <c r="A191" s="26" t="s">
        <v>9</v>
      </c>
      <c r="B191" s="26" t="s">
        <v>177</v>
      </c>
    </row>
    <row r="192" spans="1:14" s="26" customFormat="1" ht="12.75">
      <c r="A192" s="26" t="s">
        <v>11</v>
      </c>
      <c r="B192" s="26" t="s">
        <v>178</v>
      </c>
    </row>
    <row r="193" spans="1:14" s="26" customFormat="1" ht="12.75">
      <c r="A193" s="26" t="s">
        <v>13</v>
      </c>
      <c r="B193" s="26" t="s">
        <v>35</v>
      </c>
    </row>
    <row r="194" spans="1:14" s="26" customFormat="1" ht="12.75">
      <c r="A194" s="26" t="s">
        <v>15</v>
      </c>
      <c r="B194" s="32">
        <v>1</v>
      </c>
    </row>
    <row r="195" spans="1:14" s="26" customFormat="1" ht="12.75">
      <c r="A195" s="26" t="s">
        <v>16</v>
      </c>
      <c r="B195" s="26" t="s">
        <v>17</v>
      </c>
    </row>
    <row r="196" spans="1:14" s="26" customFormat="1" ht="12.75">
      <c r="A196" s="26" t="s">
        <v>18</v>
      </c>
      <c r="B196" s="26" t="s">
        <v>18</v>
      </c>
    </row>
    <row r="197" spans="1:14" ht="15.75">
      <c r="A197" s="27" t="s">
        <v>19</v>
      </c>
    </row>
    <row r="198" spans="1:14" ht="15.75">
      <c r="A198" s="27" t="s">
        <v>20</v>
      </c>
      <c r="B198" s="27" t="s">
        <v>21</v>
      </c>
      <c r="C198" s="27" t="s">
        <v>18</v>
      </c>
      <c r="D198" s="27" t="s">
        <v>22</v>
      </c>
      <c r="E198" s="27" t="s">
        <v>7</v>
      </c>
      <c r="F198" s="27" t="s">
        <v>13</v>
      </c>
      <c r="G198" s="27" t="s">
        <v>16</v>
      </c>
      <c r="H198" s="27" t="s">
        <v>23</v>
      </c>
      <c r="I198" s="27" t="s">
        <v>24</v>
      </c>
      <c r="J198" s="27" t="s">
        <v>25</v>
      </c>
      <c r="K198" s="27" t="s">
        <v>26</v>
      </c>
      <c r="L198" s="27" t="s">
        <v>27</v>
      </c>
      <c r="M198" s="27" t="s">
        <v>28</v>
      </c>
      <c r="N198" s="27" t="s">
        <v>68</v>
      </c>
    </row>
    <row r="199" spans="1:14" s="26" customFormat="1" ht="12.75">
      <c r="A199" s="26" t="s">
        <v>147</v>
      </c>
      <c r="B199" s="26">
        <f>B194</f>
        <v>1</v>
      </c>
      <c r="C199" s="26" t="str">
        <f>B196</f>
        <v>unit</v>
      </c>
      <c r="D199" s="26" t="s">
        <v>2</v>
      </c>
      <c r="E199" s="26" t="s">
        <v>29</v>
      </c>
      <c r="F199" s="26" t="str">
        <f>B193</f>
        <v>RER</v>
      </c>
      <c r="G199" s="26" t="s">
        <v>30</v>
      </c>
      <c r="H199" s="26">
        <v>0</v>
      </c>
      <c r="I199" s="26">
        <f>B199</f>
        <v>1</v>
      </c>
      <c r="J199" s="26" t="s">
        <v>31</v>
      </c>
      <c r="K199" s="26" t="s">
        <v>31</v>
      </c>
      <c r="L199" s="26" t="s">
        <v>31</v>
      </c>
      <c r="M199" s="26" t="s">
        <v>31</v>
      </c>
    </row>
    <row r="200" spans="1:14" s="26" customFormat="1" ht="12.75">
      <c r="A200" s="32" t="s">
        <v>132</v>
      </c>
      <c r="B200" s="34">
        <v>1403948</v>
      </c>
      <c r="C200" s="26" t="s">
        <v>113</v>
      </c>
      <c r="D200" s="26" t="s">
        <v>43</v>
      </c>
      <c r="E200" s="26" t="s">
        <v>114</v>
      </c>
      <c r="F200" s="26" t="s">
        <v>29</v>
      </c>
      <c r="G200" s="26" t="s">
        <v>45</v>
      </c>
      <c r="H200" s="26">
        <v>0</v>
      </c>
      <c r="I200" s="26">
        <f t="shared" ref="I200" si="11">B200</f>
        <v>1403948</v>
      </c>
      <c r="J200" s="26" t="s">
        <v>31</v>
      </c>
      <c r="K200" s="26" t="s">
        <v>31</v>
      </c>
      <c r="L200" s="26" t="s">
        <v>31</v>
      </c>
      <c r="M200" s="26" t="s">
        <v>31</v>
      </c>
      <c r="N200" s="26" t="s">
        <v>115</v>
      </c>
    </row>
    <row r="201" spans="1:14">
      <c r="A201" s="31"/>
      <c r="B201" s="31"/>
      <c r="C201" s="31"/>
      <c r="D201" s="31"/>
      <c r="E201" s="31"/>
      <c r="F201" s="31"/>
      <c r="G201" s="31"/>
      <c r="H201" s="31"/>
      <c r="I201" s="31"/>
      <c r="J201" s="31"/>
      <c r="K201" s="31"/>
      <c r="L201" s="31"/>
      <c r="M201" s="31"/>
      <c r="N201" s="31"/>
    </row>
  </sheetData>
  <pageMargins left="0.7" right="0.7" top="0.75" bottom="0.75" header="0.3" footer="0.3"/>
  <pageSetup paperSize="9"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33703-0745-49AA-ACC4-8CFF4C8C8CD9}">
  <sheetPr>
    <tabColor theme="6" tint="0.79998168889431442"/>
  </sheetPr>
  <dimension ref="A1:U104"/>
  <sheetViews>
    <sheetView topLeftCell="A74" workbookViewId="0">
      <selection activeCell="A36" sqref="A36"/>
    </sheetView>
  </sheetViews>
  <sheetFormatPr defaultRowHeight="12.75"/>
  <cols>
    <col min="1" max="1" width="52.42578125" style="373" customWidth="1"/>
    <col min="2" max="2" width="17.5703125" style="46" customWidth="1"/>
    <col min="3" max="3" width="13.7109375" style="46" customWidth="1"/>
    <col min="4" max="4" width="39.85546875" style="46" customWidth="1"/>
    <col min="5" max="6" width="9.140625" style="46"/>
    <col min="7" max="7" width="14.85546875" style="46" customWidth="1"/>
    <col min="8" max="16" width="9.140625" style="46"/>
    <col min="17" max="17" width="11.28515625" style="46" bestFit="1" customWidth="1"/>
    <col min="18" max="16384" width="9.140625" style="46"/>
  </cols>
  <sheetData>
    <row r="1" spans="1:21">
      <c r="A1" s="46" t="s">
        <v>0</v>
      </c>
      <c r="B1" s="46">
        <v>13</v>
      </c>
    </row>
    <row r="2" spans="1:21">
      <c r="A2" s="396" t="s">
        <v>5</v>
      </c>
      <c r="B2" s="148" t="s">
        <v>1212</v>
      </c>
      <c r="C2" s="364"/>
      <c r="D2" s="345"/>
      <c r="E2" s="345"/>
      <c r="F2" s="345"/>
      <c r="G2" s="345"/>
      <c r="H2" s="345"/>
      <c r="I2" s="345"/>
      <c r="J2" s="345"/>
      <c r="K2" s="345"/>
      <c r="L2" s="345"/>
      <c r="M2" s="345"/>
      <c r="N2" s="345"/>
      <c r="O2" s="345"/>
      <c r="P2" s="345"/>
      <c r="Q2" s="345"/>
      <c r="R2" s="345"/>
    </row>
    <row r="3" spans="1:21">
      <c r="A3" s="398" t="s">
        <v>7</v>
      </c>
      <c r="B3" s="46" t="s">
        <v>779</v>
      </c>
      <c r="C3" s="337"/>
    </row>
    <row r="4" spans="1:21">
      <c r="A4" s="398" t="s">
        <v>9</v>
      </c>
      <c r="B4" s="46" t="s">
        <v>1218</v>
      </c>
      <c r="C4" s="337"/>
      <c r="U4" s="381"/>
    </row>
    <row r="5" spans="1:21" ht="12.75" customHeight="1">
      <c r="A5" s="398" t="s">
        <v>11</v>
      </c>
      <c r="B5" s="339" t="s">
        <v>789</v>
      </c>
    </row>
    <row r="6" spans="1:21">
      <c r="A6" s="398" t="s">
        <v>13</v>
      </c>
      <c r="B6" s="46" t="s">
        <v>14</v>
      </c>
    </row>
    <row r="7" spans="1:21">
      <c r="A7" s="398" t="s">
        <v>15</v>
      </c>
      <c r="B7" s="46">
        <f>B12</f>
        <v>0.02</v>
      </c>
    </row>
    <row r="8" spans="1:21">
      <c r="A8" s="398" t="s">
        <v>16</v>
      </c>
      <c r="B8" s="46" t="s">
        <v>17</v>
      </c>
    </row>
    <row r="9" spans="1:21">
      <c r="A9" s="398" t="s">
        <v>18</v>
      </c>
      <c r="B9" s="46" t="s">
        <v>113</v>
      </c>
    </row>
    <row r="10" spans="1:21">
      <c r="A10" s="399" t="s">
        <v>19</v>
      </c>
    </row>
    <row r="11" spans="1:21">
      <c r="A11" s="399"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row>
    <row r="12" spans="1:21">
      <c r="A12" s="373" t="s">
        <v>1212</v>
      </c>
      <c r="B12" s="46">
        <v>0.02</v>
      </c>
      <c r="C12" s="46" t="s">
        <v>113</v>
      </c>
      <c r="D12" s="400" t="s">
        <v>2</v>
      </c>
      <c r="E12" s="46" t="s">
        <v>29</v>
      </c>
      <c r="F12" s="32" t="s">
        <v>14</v>
      </c>
      <c r="G12" s="46" t="s">
        <v>30</v>
      </c>
      <c r="H12" s="46">
        <v>1</v>
      </c>
      <c r="I12" s="46">
        <f>B12</f>
        <v>0.02</v>
      </c>
      <c r="J12" s="46" t="s">
        <v>31</v>
      </c>
      <c r="K12" s="46" t="s">
        <v>31</v>
      </c>
      <c r="L12" s="46" t="s">
        <v>31</v>
      </c>
      <c r="M12" s="46" t="s">
        <v>31</v>
      </c>
      <c r="O12" s="401"/>
      <c r="P12" s="402"/>
    </row>
    <row r="13" spans="1:21">
      <c r="A13" s="373" t="s">
        <v>1219</v>
      </c>
      <c r="B13" s="46">
        <f>Q13</f>
        <v>0.12399999999999999</v>
      </c>
      <c r="C13" s="46" t="s">
        <v>37</v>
      </c>
      <c r="D13" s="400" t="s">
        <v>2</v>
      </c>
      <c r="E13" s="46" t="s">
        <v>29</v>
      </c>
      <c r="F13" s="32" t="s">
        <v>14</v>
      </c>
      <c r="G13" s="46" t="s">
        <v>33</v>
      </c>
      <c r="H13" s="46">
        <v>1</v>
      </c>
      <c r="I13" s="46">
        <f t="shared" ref="I13:I14" si="0">B13</f>
        <v>0.12399999999999999</v>
      </c>
      <c r="J13" s="46" t="s">
        <v>31</v>
      </c>
      <c r="K13" s="46" t="s">
        <v>31</v>
      </c>
      <c r="L13" s="46" t="s">
        <v>31</v>
      </c>
      <c r="M13" s="46" t="s">
        <v>31</v>
      </c>
      <c r="O13" s="46">
        <f>0.05/0.31</f>
        <v>0.16129032258064518</v>
      </c>
      <c r="P13" s="46" t="s">
        <v>832</v>
      </c>
      <c r="Q13" s="46">
        <f>B12/O13</f>
        <v>0.12399999999999999</v>
      </c>
    </row>
    <row r="14" spans="1:21">
      <c r="A14" s="373" t="s">
        <v>1220</v>
      </c>
      <c r="B14" s="46">
        <v>0.02</v>
      </c>
      <c r="C14" s="46" t="s">
        <v>113</v>
      </c>
      <c r="D14" s="400" t="s">
        <v>2</v>
      </c>
      <c r="E14" s="46" t="s">
        <v>29</v>
      </c>
      <c r="F14" s="32" t="s">
        <v>14</v>
      </c>
      <c r="G14" s="46" t="s">
        <v>33</v>
      </c>
      <c r="H14" s="46">
        <v>1</v>
      </c>
      <c r="I14" s="46">
        <f t="shared" si="0"/>
        <v>0.02</v>
      </c>
      <c r="J14" s="46" t="s">
        <v>31</v>
      </c>
      <c r="K14" s="46" t="s">
        <v>31</v>
      </c>
      <c r="L14" s="46" t="s">
        <v>31</v>
      </c>
      <c r="M14" s="46" t="s">
        <v>31</v>
      </c>
    </row>
    <row r="15" spans="1:21" ht="15">
      <c r="A15" s="61" t="s">
        <v>792</v>
      </c>
      <c r="B15" s="46">
        <f>P15</f>
        <v>0.2</v>
      </c>
      <c r="C15" s="46" t="s">
        <v>37</v>
      </c>
      <c r="D15" s="46" t="s">
        <v>40</v>
      </c>
      <c r="E15" s="46" t="s">
        <v>29</v>
      </c>
      <c r="F15" s="32" t="s">
        <v>741</v>
      </c>
      <c r="G15" s="46" t="s">
        <v>33</v>
      </c>
      <c r="H15" s="46">
        <v>2</v>
      </c>
      <c r="I15" s="46">
        <f>LN(B15)</f>
        <v>-1.6094379124341003</v>
      </c>
      <c r="J15" s="456">
        <v>0.11236102527122109</v>
      </c>
      <c r="K15" s="46" t="s">
        <v>31</v>
      </c>
      <c r="L15" s="46" t="s">
        <v>31</v>
      </c>
      <c r="M15" s="46" t="s">
        <v>31</v>
      </c>
      <c r="O15" s="393" t="s">
        <v>221</v>
      </c>
      <c r="P15" s="120">
        <v>0.2</v>
      </c>
    </row>
    <row r="16" spans="1:21" ht="15">
      <c r="A16" s="61" t="s">
        <v>857</v>
      </c>
      <c r="B16" s="407">
        <f>Q16</f>
        <v>7.7999999999999987E-9</v>
      </c>
      <c r="C16" s="46" t="s">
        <v>37</v>
      </c>
      <c r="D16" s="46" t="s">
        <v>40</v>
      </c>
      <c r="E16" s="46" t="s">
        <v>29</v>
      </c>
      <c r="F16" s="32" t="s">
        <v>58</v>
      </c>
      <c r="G16" s="46" t="s">
        <v>33</v>
      </c>
      <c r="H16" s="46">
        <v>2</v>
      </c>
      <c r="I16" s="46">
        <f t="shared" ref="I16:I17" si="1">LN(B16)</f>
        <v>-18.669142103250866</v>
      </c>
      <c r="J16" s="456">
        <v>0.11236102527122109</v>
      </c>
      <c r="K16" s="46" t="s">
        <v>31</v>
      </c>
      <c r="L16" s="46" t="s">
        <v>31</v>
      </c>
      <c r="M16" s="46" t="s">
        <v>31</v>
      </c>
      <c r="O16" s="408" t="s">
        <v>523</v>
      </c>
      <c r="P16" s="153">
        <v>7.7999999999999996E-3</v>
      </c>
      <c r="Q16" s="407">
        <f>P16*10^(-6)</f>
        <v>7.7999999999999987E-9</v>
      </c>
      <c r="R16" s="46" t="s">
        <v>37</v>
      </c>
    </row>
    <row r="17" spans="1:18" ht="15">
      <c r="A17" s="61" t="s">
        <v>226</v>
      </c>
      <c r="B17" s="46">
        <f>Q17</f>
        <v>2.0000000000000001E-4</v>
      </c>
      <c r="C17" s="46" t="s">
        <v>42</v>
      </c>
      <c r="D17" s="46" t="s">
        <v>40</v>
      </c>
      <c r="E17" s="46" t="s">
        <v>29</v>
      </c>
      <c r="F17" s="32" t="s">
        <v>741</v>
      </c>
      <c r="G17" s="46" t="s">
        <v>33</v>
      </c>
      <c r="H17" s="46">
        <v>2</v>
      </c>
      <c r="I17" s="46">
        <f t="shared" si="1"/>
        <v>-8.5171931914162382</v>
      </c>
      <c r="J17" s="456">
        <v>0.11236102527122109</v>
      </c>
      <c r="K17" s="46" t="s">
        <v>31</v>
      </c>
      <c r="L17" s="46" t="s">
        <v>31</v>
      </c>
      <c r="M17" s="46" t="s">
        <v>31</v>
      </c>
      <c r="O17" s="410" t="s">
        <v>858</v>
      </c>
      <c r="P17" s="155">
        <v>0.2</v>
      </c>
      <c r="Q17" s="46">
        <f>P17/1000</f>
        <v>2.0000000000000001E-4</v>
      </c>
      <c r="R17" s="46" t="s">
        <v>859</v>
      </c>
    </row>
    <row r="18" spans="1:18">
      <c r="A18" s="396" t="s">
        <v>5</v>
      </c>
      <c r="B18" s="148" t="s">
        <v>1219</v>
      </c>
      <c r="C18" s="364"/>
      <c r="D18" s="345"/>
      <c r="E18" s="345"/>
      <c r="F18" s="345"/>
      <c r="G18" s="345"/>
      <c r="H18" s="345"/>
      <c r="I18" s="345"/>
      <c r="J18" s="345"/>
      <c r="K18" s="345"/>
      <c r="L18" s="345"/>
      <c r="M18" s="345"/>
      <c r="N18" s="345"/>
      <c r="O18" s="345"/>
      <c r="P18" s="345"/>
      <c r="Q18" s="345"/>
      <c r="R18" s="345"/>
    </row>
    <row r="19" spans="1:18">
      <c r="A19" s="398" t="s">
        <v>7</v>
      </c>
      <c r="B19" s="46" t="s">
        <v>779</v>
      </c>
      <c r="C19" s="337"/>
    </row>
    <row r="20" spans="1:18">
      <c r="A20" s="398" t="s">
        <v>9</v>
      </c>
      <c r="B20" s="46" t="s">
        <v>1221</v>
      </c>
      <c r="C20" s="337"/>
    </row>
    <row r="21" spans="1:18" ht="10.5" customHeight="1">
      <c r="A21" s="398" t="s">
        <v>11</v>
      </c>
      <c r="B21" s="339" t="s">
        <v>789</v>
      </c>
      <c r="P21" s="413"/>
    </row>
    <row r="22" spans="1:18">
      <c r="A22" s="398" t="s">
        <v>13</v>
      </c>
      <c r="B22" s="46" t="s">
        <v>14</v>
      </c>
      <c r="P22" s="413"/>
    </row>
    <row r="23" spans="1:18">
      <c r="A23" s="398" t="s">
        <v>15</v>
      </c>
      <c r="B23" s="46">
        <f>B28</f>
        <v>7.0000000000000001E-3</v>
      </c>
      <c r="P23" s="413"/>
    </row>
    <row r="24" spans="1:18">
      <c r="A24" s="398" t="s">
        <v>16</v>
      </c>
      <c r="B24" s="46" t="s">
        <v>17</v>
      </c>
    </row>
    <row r="25" spans="1:18">
      <c r="A25" s="398" t="s">
        <v>18</v>
      </c>
      <c r="B25" s="46" t="s">
        <v>37</v>
      </c>
    </row>
    <row r="26" spans="1:18">
      <c r="A26" s="399" t="s">
        <v>19</v>
      </c>
    </row>
    <row r="27" spans="1:18">
      <c r="A27" s="399" t="s">
        <v>20</v>
      </c>
      <c r="B27" s="336" t="s">
        <v>21</v>
      </c>
      <c r="C27" s="336" t="s">
        <v>18</v>
      </c>
      <c r="D27" s="336" t="s">
        <v>22</v>
      </c>
      <c r="E27" s="336" t="s">
        <v>7</v>
      </c>
      <c r="F27" s="336" t="s">
        <v>13</v>
      </c>
      <c r="G27" s="336" t="s">
        <v>16</v>
      </c>
      <c r="H27" s="336" t="s">
        <v>23</v>
      </c>
      <c r="I27" s="336" t="s">
        <v>24</v>
      </c>
      <c r="J27" s="336" t="s">
        <v>25</v>
      </c>
      <c r="K27" s="336" t="s">
        <v>26</v>
      </c>
      <c r="L27" s="336" t="s">
        <v>27</v>
      </c>
      <c r="M27" s="336" t="s">
        <v>28</v>
      </c>
      <c r="N27" s="336" t="s">
        <v>11</v>
      </c>
    </row>
    <row r="28" spans="1:18">
      <c r="A28" s="373" t="s">
        <v>1219</v>
      </c>
      <c r="B28" s="46">
        <v>7.0000000000000001E-3</v>
      </c>
      <c r="C28" s="46" t="s">
        <v>37</v>
      </c>
      <c r="D28" s="400" t="s">
        <v>2</v>
      </c>
      <c r="E28" s="46" t="s">
        <v>29</v>
      </c>
      <c r="F28" s="32" t="s">
        <v>14</v>
      </c>
      <c r="G28" s="46" t="s">
        <v>30</v>
      </c>
      <c r="H28" s="46">
        <v>1</v>
      </c>
      <c r="I28" s="46">
        <f>B28</f>
        <v>7.0000000000000001E-3</v>
      </c>
      <c r="J28" s="46" t="s">
        <v>31</v>
      </c>
      <c r="K28" s="46" t="s">
        <v>31</v>
      </c>
      <c r="L28" s="46" t="s">
        <v>31</v>
      </c>
      <c r="M28" s="46" t="s">
        <v>31</v>
      </c>
    </row>
    <row r="29" spans="1:18" ht="15">
      <c r="A29" s="61" t="s">
        <v>857</v>
      </c>
      <c r="B29" s="407">
        <f>R29</f>
        <v>7.4999999999999997E-3</v>
      </c>
      <c r="C29" s="46" t="s">
        <v>37</v>
      </c>
      <c r="D29" s="46" t="s">
        <v>40</v>
      </c>
      <c r="E29" s="46" t="s">
        <v>29</v>
      </c>
      <c r="F29" s="32" t="s">
        <v>58</v>
      </c>
      <c r="G29" s="46" t="s">
        <v>33</v>
      </c>
      <c r="H29" s="46">
        <v>2</v>
      </c>
      <c r="I29" s="46">
        <f t="shared" ref="I29:I31" si="2">LN(B29)</f>
        <v>-4.8928522584398726</v>
      </c>
      <c r="J29" s="456">
        <v>0.11236102527122109</v>
      </c>
      <c r="K29" s="46" t="s">
        <v>31</v>
      </c>
      <c r="L29" s="46" t="s">
        <v>31</v>
      </c>
      <c r="M29" s="46" t="s">
        <v>31</v>
      </c>
      <c r="O29" s="393" t="s">
        <v>575</v>
      </c>
      <c r="P29" s="120">
        <v>7.5</v>
      </c>
      <c r="Q29" s="46" t="s">
        <v>221</v>
      </c>
      <c r="R29" s="46">
        <f>P29*0.001</f>
        <v>7.4999999999999997E-3</v>
      </c>
    </row>
    <row r="30" spans="1:18" ht="15">
      <c r="A30" s="398" t="s">
        <v>75</v>
      </c>
      <c r="B30" s="342">
        <f>P30</f>
        <v>0.03</v>
      </c>
      <c r="C30" s="46" t="s">
        <v>39</v>
      </c>
      <c r="D30" s="46" t="s">
        <v>40</v>
      </c>
      <c r="E30" s="46" t="s">
        <v>29</v>
      </c>
      <c r="F30" s="32" t="s">
        <v>35</v>
      </c>
      <c r="G30" s="46" t="s">
        <v>33</v>
      </c>
      <c r="H30" s="46">
        <v>2</v>
      </c>
      <c r="I30" s="46">
        <f t="shared" si="2"/>
        <v>-3.5065578973199818</v>
      </c>
      <c r="J30" s="456">
        <v>0.11236102527122109</v>
      </c>
      <c r="K30" s="46" t="s">
        <v>31</v>
      </c>
      <c r="L30" s="46" t="s">
        <v>31</v>
      </c>
      <c r="M30" s="46" t="s">
        <v>31</v>
      </c>
      <c r="O30" s="393" t="s">
        <v>216</v>
      </c>
      <c r="P30" s="120">
        <v>0.03</v>
      </c>
    </row>
    <row r="31" spans="1:18" ht="15">
      <c r="A31" s="61" t="s">
        <v>861</v>
      </c>
      <c r="B31" s="46">
        <f>R31</f>
        <v>4.0000000000000002E-4</v>
      </c>
      <c r="C31" s="46" t="s">
        <v>37</v>
      </c>
      <c r="D31" s="46" t="s">
        <v>43</v>
      </c>
      <c r="E31" s="46" t="s">
        <v>862</v>
      </c>
      <c r="F31" s="32" t="s">
        <v>29</v>
      </c>
      <c r="G31" s="46" t="s">
        <v>45</v>
      </c>
      <c r="H31" s="46">
        <v>2</v>
      </c>
      <c r="I31" s="46">
        <f t="shared" si="2"/>
        <v>-7.8240460108562919</v>
      </c>
      <c r="J31" s="456">
        <v>0.11236102527122109</v>
      </c>
      <c r="K31" s="46" t="s">
        <v>31</v>
      </c>
      <c r="L31" s="46" t="s">
        <v>31</v>
      </c>
      <c r="M31" s="46" t="s">
        <v>31</v>
      </c>
      <c r="O31" s="410" t="s">
        <v>575</v>
      </c>
      <c r="P31" s="155">
        <v>0.4</v>
      </c>
      <c r="Q31" s="46" t="s">
        <v>221</v>
      </c>
      <c r="R31" s="46">
        <f>P31*0.001</f>
        <v>4.0000000000000002E-4</v>
      </c>
    </row>
    <row r="32" spans="1:18">
      <c r="A32" s="396" t="s">
        <v>5</v>
      </c>
      <c r="B32" s="363" t="s">
        <v>1220</v>
      </c>
      <c r="C32" s="364"/>
      <c r="D32" s="345"/>
      <c r="E32" s="345"/>
      <c r="F32" s="345"/>
      <c r="G32" s="345"/>
      <c r="H32" s="345"/>
      <c r="I32" s="345"/>
      <c r="J32" s="345"/>
      <c r="K32" s="345"/>
      <c r="L32" s="345"/>
      <c r="M32" s="345"/>
      <c r="N32" s="345"/>
      <c r="O32" s="345"/>
      <c r="P32" s="345"/>
      <c r="Q32" s="345"/>
      <c r="R32" s="345"/>
    </row>
    <row r="33" spans="1:21">
      <c r="A33" s="398" t="s">
        <v>7</v>
      </c>
      <c r="B33" s="46" t="s">
        <v>779</v>
      </c>
      <c r="C33" s="337"/>
    </row>
    <row r="34" spans="1:21">
      <c r="A34" s="398" t="s">
        <v>9</v>
      </c>
      <c r="B34" s="46" t="s">
        <v>1222</v>
      </c>
      <c r="C34" s="337"/>
    </row>
    <row r="35" spans="1:21" ht="15.75" customHeight="1">
      <c r="A35" s="398" t="s">
        <v>11</v>
      </c>
      <c r="B35" s="339" t="s">
        <v>789</v>
      </c>
      <c r="O35" s="46" t="s">
        <v>1223</v>
      </c>
      <c r="T35" s="381" t="s">
        <v>1224</v>
      </c>
    </row>
    <row r="36" spans="1:21">
      <c r="A36" s="398" t="s">
        <v>13</v>
      </c>
      <c r="B36" s="46" t="s">
        <v>14</v>
      </c>
      <c r="O36" s="46">
        <f>0.05/0.31</f>
        <v>0.16129032258064518</v>
      </c>
      <c r="P36" s="46" t="s">
        <v>832</v>
      </c>
      <c r="T36" s="46">
        <f>0.16/0.25</f>
        <v>0.64</v>
      </c>
      <c r="U36" s="46" t="s">
        <v>886</v>
      </c>
    </row>
    <row r="37" spans="1:21">
      <c r="A37" s="398" t="s">
        <v>15</v>
      </c>
      <c r="B37" s="46">
        <f>B42</f>
        <v>0.05</v>
      </c>
    </row>
    <row r="38" spans="1:21">
      <c r="A38" s="398" t="s">
        <v>16</v>
      </c>
      <c r="B38" s="46" t="s">
        <v>17</v>
      </c>
    </row>
    <row r="39" spans="1:21">
      <c r="A39" s="398" t="s">
        <v>18</v>
      </c>
      <c r="B39" s="46" t="s">
        <v>113</v>
      </c>
    </row>
    <row r="40" spans="1:21">
      <c r="A40" s="399" t="s">
        <v>19</v>
      </c>
    </row>
    <row r="41" spans="1:21">
      <c r="A41" s="399" t="s">
        <v>20</v>
      </c>
      <c r="B41" s="336" t="s">
        <v>21</v>
      </c>
      <c r="C41" s="336" t="s">
        <v>18</v>
      </c>
      <c r="D41" s="336" t="s">
        <v>22</v>
      </c>
      <c r="E41" s="336" t="s">
        <v>7</v>
      </c>
      <c r="F41" s="336" t="s">
        <v>13</v>
      </c>
      <c r="G41" s="336" t="s">
        <v>16</v>
      </c>
      <c r="H41" s="336" t="s">
        <v>23</v>
      </c>
      <c r="I41" s="336" t="s">
        <v>24</v>
      </c>
      <c r="J41" s="336" t="s">
        <v>25</v>
      </c>
      <c r="K41" s="336" t="s">
        <v>26</v>
      </c>
      <c r="L41" s="336" t="s">
        <v>27</v>
      </c>
      <c r="M41" s="336" t="s">
        <v>28</v>
      </c>
      <c r="N41" s="336" t="s">
        <v>11</v>
      </c>
    </row>
    <row r="42" spans="1:21">
      <c r="A42" s="373" t="s">
        <v>1220</v>
      </c>
      <c r="B42" s="46">
        <v>0.05</v>
      </c>
      <c r="C42" s="46" t="s">
        <v>113</v>
      </c>
      <c r="D42" s="400" t="s">
        <v>2</v>
      </c>
      <c r="E42" s="46" t="s">
        <v>29</v>
      </c>
      <c r="F42" s="32" t="s">
        <v>14</v>
      </c>
      <c r="G42" s="46" t="s">
        <v>30</v>
      </c>
      <c r="H42" s="46">
        <v>1</v>
      </c>
      <c r="I42" s="46">
        <f>B42</f>
        <v>0.05</v>
      </c>
      <c r="J42" s="46" t="s">
        <v>31</v>
      </c>
      <c r="K42" s="46" t="s">
        <v>31</v>
      </c>
      <c r="L42" s="46" t="s">
        <v>31</v>
      </c>
      <c r="M42" s="46" t="s">
        <v>31</v>
      </c>
    </row>
    <row r="43" spans="1:21">
      <c r="A43" s="373" t="s">
        <v>1225</v>
      </c>
      <c r="B43" s="407">
        <f>B68</f>
        <v>0.31</v>
      </c>
      <c r="C43" s="46" t="s">
        <v>37</v>
      </c>
      <c r="D43" s="400" t="s">
        <v>2</v>
      </c>
      <c r="E43" s="46" t="s">
        <v>29</v>
      </c>
      <c r="F43" s="32" t="s">
        <v>14</v>
      </c>
      <c r="G43" s="46" t="s">
        <v>33</v>
      </c>
      <c r="H43" s="46">
        <v>1</v>
      </c>
      <c r="I43" s="46">
        <f>B43</f>
        <v>0.31</v>
      </c>
      <c r="J43" s="46" t="s">
        <v>31</v>
      </c>
      <c r="K43" s="46" t="s">
        <v>31</v>
      </c>
      <c r="L43" s="46" t="s">
        <v>31</v>
      </c>
      <c r="M43" s="46" t="s">
        <v>31</v>
      </c>
      <c r="O43" s="393"/>
      <c r="P43" s="406"/>
    </row>
    <row r="44" spans="1:21" ht="15">
      <c r="A44" s="398" t="s">
        <v>75</v>
      </c>
      <c r="B44" s="342">
        <f>P44</f>
        <v>0.52</v>
      </c>
      <c r="C44" s="46" t="s">
        <v>39</v>
      </c>
      <c r="D44" s="46" t="s">
        <v>40</v>
      </c>
      <c r="E44" s="46" t="s">
        <v>29</v>
      </c>
      <c r="F44" s="32" t="s">
        <v>35</v>
      </c>
      <c r="G44" s="46" t="s">
        <v>33</v>
      </c>
      <c r="H44" s="46">
        <v>2</v>
      </c>
      <c r="I44" s="46">
        <f t="shared" ref="I44" si="3">LN(B44)</f>
        <v>-0.65392646740666394</v>
      </c>
      <c r="J44" s="456">
        <v>7.2284161474004766E-2</v>
      </c>
      <c r="K44" s="46" t="s">
        <v>31</v>
      </c>
      <c r="L44" s="46" t="s">
        <v>31</v>
      </c>
      <c r="M44" s="46" t="s">
        <v>31</v>
      </c>
      <c r="O44" s="393" t="s">
        <v>216</v>
      </c>
      <c r="P44" s="120">
        <v>0.52</v>
      </c>
    </row>
    <row r="45" spans="1:21" ht="15">
      <c r="A45" s="61" t="s">
        <v>547</v>
      </c>
      <c r="B45" s="46">
        <f>R45</f>
        <v>1.2E-2</v>
      </c>
      <c r="C45" s="46" t="s">
        <v>37</v>
      </c>
      <c r="D45" s="46" t="s">
        <v>40</v>
      </c>
      <c r="E45" s="46" t="s">
        <v>29</v>
      </c>
      <c r="F45" s="32" t="s">
        <v>58</v>
      </c>
      <c r="G45" s="46" t="s">
        <v>33</v>
      </c>
      <c r="H45" s="46">
        <v>2</v>
      </c>
      <c r="I45" s="46">
        <f>LN(B45)</f>
        <v>-4.4228486291941369</v>
      </c>
      <c r="J45" s="456">
        <v>7.2284161474004766E-2</v>
      </c>
      <c r="K45" s="46" t="s">
        <v>31</v>
      </c>
      <c r="L45" s="46" t="s">
        <v>31</v>
      </c>
      <c r="M45" s="46" t="s">
        <v>31</v>
      </c>
      <c r="O45" s="393" t="s">
        <v>575</v>
      </c>
      <c r="P45" s="120">
        <v>12</v>
      </c>
      <c r="Q45" s="46" t="s">
        <v>221</v>
      </c>
      <c r="R45" s="46">
        <f>P45*0.001</f>
        <v>1.2E-2</v>
      </c>
    </row>
    <row r="46" spans="1:21" ht="15">
      <c r="A46" s="61" t="s">
        <v>866</v>
      </c>
      <c r="B46" s="46">
        <f>R46</f>
        <v>2.1999999999999999E-2</v>
      </c>
      <c r="C46" s="46" t="s">
        <v>37</v>
      </c>
      <c r="D46" s="46" t="s">
        <v>40</v>
      </c>
      <c r="E46" s="46" t="s">
        <v>29</v>
      </c>
      <c r="F46" s="32" t="s">
        <v>35</v>
      </c>
      <c r="G46" s="46" t="s">
        <v>33</v>
      </c>
      <c r="H46" s="46">
        <v>2</v>
      </c>
      <c r="I46" s="46">
        <f>LN(B46)</f>
        <v>-3.8167128256238212</v>
      </c>
      <c r="J46" s="456">
        <v>7.2284161474004766E-2</v>
      </c>
      <c r="K46" s="46" t="s">
        <v>31</v>
      </c>
      <c r="L46" s="46" t="s">
        <v>31</v>
      </c>
      <c r="M46" s="46" t="s">
        <v>31</v>
      </c>
      <c r="O46" s="393" t="s">
        <v>575</v>
      </c>
      <c r="P46" s="120">
        <v>22</v>
      </c>
      <c r="Q46" s="46" t="s">
        <v>221</v>
      </c>
      <c r="R46" s="46">
        <f>P46*0.001</f>
        <v>2.1999999999999999E-2</v>
      </c>
    </row>
    <row r="47" spans="1:21" ht="15">
      <c r="A47" s="61" t="s">
        <v>792</v>
      </c>
      <c r="B47" s="46">
        <f>P47</f>
        <v>19.7</v>
      </c>
      <c r="C47" s="46" t="s">
        <v>37</v>
      </c>
      <c r="D47" s="46" t="s">
        <v>40</v>
      </c>
      <c r="E47" s="46" t="s">
        <v>29</v>
      </c>
      <c r="F47" s="32" t="s">
        <v>741</v>
      </c>
      <c r="G47" s="46" t="s">
        <v>33</v>
      </c>
      <c r="H47" s="46">
        <v>2</v>
      </c>
      <c r="I47" s="46">
        <f>LN(B47)</f>
        <v>2.9806186357439426</v>
      </c>
      <c r="J47" s="456">
        <v>7.2284161474004766E-2</v>
      </c>
      <c r="K47" s="46" t="s">
        <v>31</v>
      </c>
      <c r="L47" s="46" t="s">
        <v>31</v>
      </c>
      <c r="M47" s="46" t="s">
        <v>31</v>
      </c>
      <c r="O47" s="393" t="s">
        <v>221</v>
      </c>
      <c r="P47" s="120">
        <v>19.7</v>
      </c>
    </row>
    <row r="48" spans="1:21" ht="15">
      <c r="A48" s="61" t="s">
        <v>226</v>
      </c>
      <c r="B48" s="46">
        <f>R48</f>
        <v>1.9699999999999999E-2</v>
      </c>
      <c r="C48" s="46" t="s">
        <v>42</v>
      </c>
      <c r="D48" s="46" t="s">
        <v>40</v>
      </c>
      <c r="E48" s="46" t="s">
        <v>29</v>
      </c>
      <c r="F48" s="32" t="s">
        <v>741</v>
      </c>
      <c r="G48" s="46" t="s">
        <v>33</v>
      </c>
      <c r="H48" s="46">
        <v>2</v>
      </c>
      <c r="I48" s="46">
        <f t="shared" ref="I48" si="4">LN(B48)</f>
        <v>-3.9271366432381942</v>
      </c>
      <c r="J48" s="456">
        <v>7.2284161474004766E-2</v>
      </c>
      <c r="K48" s="46" t="s">
        <v>31</v>
      </c>
      <c r="L48" s="46" t="s">
        <v>31</v>
      </c>
      <c r="M48" s="46" t="s">
        <v>31</v>
      </c>
      <c r="O48" s="410" t="s">
        <v>858</v>
      </c>
      <c r="P48" s="155">
        <v>19.7</v>
      </c>
      <c r="Q48" s="46" t="s">
        <v>219</v>
      </c>
      <c r="R48" s="46">
        <f>P48/1000</f>
        <v>1.9699999999999999E-2</v>
      </c>
    </row>
    <row r="49" spans="1:18">
      <c r="A49" s="396" t="s">
        <v>5</v>
      </c>
      <c r="B49" s="363" t="s">
        <v>1226</v>
      </c>
      <c r="C49" s="364"/>
      <c r="D49" s="345"/>
      <c r="E49" s="345"/>
      <c r="F49" s="345"/>
      <c r="G49" s="345"/>
      <c r="H49" s="345"/>
      <c r="I49" s="345"/>
      <c r="J49" s="345"/>
      <c r="K49" s="345"/>
      <c r="L49" s="345"/>
      <c r="M49" s="345"/>
      <c r="N49" s="345"/>
      <c r="O49" s="345"/>
      <c r="P49" s="345"/>
      <c r="Q49" s="345"/>
      <c r="R49" s="345"/>
    </row>
    <row r="50" spans="1:18">
      <c r="A50" s="398" t="s">
        <v>7</v>
      </c>
      <c r="B50" s="46" t="s">
        <v>779</v>
      </c>
      <c r="C50" s="337"/>
    </row>
    <row r="51" spans="1:18">
      <c r="A51" s="398" t="s">
        <v>9</v>
      </c>
      <c r="B51" s="46" t="s">
        <v>1227</v>
      </c>
      <c r="C51" s="337"/>
    </row>
    <row r="52" spans="1:18" ht="10.5" customHeight="1">
      <c r="A52" s="398" t="s">
        <v>11</v>
      </c>
      <c r="B52" s="339" t="s">
        <v>789</v>
      </c>
    </row>
    <row r="53" spans="1:18">
      <c r="A53" s="398" t="s">
        <v>13</v>
      </c>
      <c r="B53" s="46" t="s">
        <v>14</v>
      </c>
    </row>
    <row r="54" spans="1:18">
      <c r="A54" s="398" t="s">
        <v>15</v>
      </c>
      <c r="B54" s="412">
        <f>B59</f>
        <v>2.5000000000000001E-2</v>
      </c>
    </row>
    <row r="55" spans="1:18">
      <c r="A55" s="398" t="s">
        <v>16</v>
      </c>
      <c r="B55" s="46" t="s">
        <v>17</v>
      </c>
    </row>
    <row r="56" spans="1:18">
      <c r="A56" s="398" t="s">
        <v>18</v>
      </c>
      <c r="B56" s="46" t="s">
        <v>37</v>
      </c>
    </row>
    <row r="57" spans="1:18">
      <c r="A57" s="399" t="s">
        <v>19</v>
      </c>
    </row>
    <row r="58" spans="1:18">
      <c r="A58" s="399" t="s">
        <v>20</v>
      </c>
      <c r="B58" s="336" t="s">
        <v>21</v>
      </c>
      <c r="C58" s="336" t="s">
        <v>18</v>
      </c>
      <c r="D58" s="336" t="s">
        <v>22</v>
      </c>
      <c r="E58" s="336" t="s">
        <v>7</v>
      </c>
      <c r="F58" s="336" t="s">
        <v>13</v>
      </c>
      <c r="G58" s="336" t="s">
        <v>16</v>
      </c>
      <c r="H58" s="336" t="s">
        <v>23</v>
      </c>
      <c r="I58" s="336" t="s">
        <v>24</v>
      </c>
      <c r="J58" s="336" t="s">
        <v>25</v>
      </c>
      <c r="K58" s="336" t="s">
        <v>26</v>
      </c>
      <c r="L58" s="336" t="s">
        <v>27</v>
      </c>
      <c r="M58" s="336" t="s">
        <v>28</v>
      </c>
      <c r="N58" s="336" t="s">
        <v>11</v>
      </c>
    </row>
    <row r="59" spans="1:18">
      <c r="A59" s="373" t="s">
        <v>1226</v>
      </c>
      <c r="B59" s="412">
        <f>0.025</f>
        <v>2.5000000000000001E-2</v>
      </c>
      <c r="C59" s="46" t="s">
        <v>37</v>
      </c>
      <c r="D59" s="400" t="s">
        <v>2</v>
      </c>
      <c r="E59" s="46" t="s">
        <v>29</v>
      </c>
      <c r="F59" s="32" t="s">
        <v>14</v>
      </c>
      <c r="G59" s="46" t="s">
        <v>30</v>
      </c>
      <c r="H59" s="46">
        <v>1</v>
      </c>
      <c r="I59" s="412">
        <f>B59</f>
        <v>2.5000000000000001E-2</v>
      </c>
      <c r="J59" s="46" t="s">
        <v>31</v>
      </c>
      <c r="K59" s="46" t="s">
        <v>31</v>
      </c>
      <c r="L59" s="46" t="s">
        <v>31</v>
      </c>
      <c r="M59" s="46" t="s">
        <v>31</v>
      </c>
      <c r="O59" s="62"/>
      <c r="P59" s="413"/>
    </row>
    <row r="60" spans="1:18" ht="15">
      <c r="A60" s="61" t="s">
        <v>869</v>
      </c>
      <c r="B60" s="342">
        <f>R60</f>
        <v>2.6000000000000002E-2</v>
      </c>
      <c r="C60" s="46" t="s">
        <v>37</v>
      </c>
      <c r="D60" s="46" t="s">
        <v>40</v>
      </c>
      <c r="E60" s="46" t="s">
        <v>29</v>
      </c>
      <c r="F60" s="32" t="s">
        <v>58</v>
      </c>
      <c r="G60" s="46" t="s">
        <v>33</v>
      </c>
      <c r="H60" s="46">
        <v>2</v>
      </c>
      <c r="I60" s="46">
        <f>LN(B60)</f>
        <v>-3.6496587409606551</v>
      </c>
      <c r="J60" s="46">
        <v>7.2284161474004766E-2</v>
      </c>
      <c r="K60" s="46" t="s">
        <v>31</v>
      </c>
      <c r="L60" s="46" t="s">
        <v>31</v>
      </c>
      <c r="M60" s="46" t="s">
        <v>31</v>
      </c>
      <c r="O60" s="393" t="s">
        <v>575</v>
      </c>
      <c r="P60" s="120">
        <v>26</v>
      </c>
      <c r="Q60" s="46" t="s">
        <v>221</v>
      </c>
      <c r="R60" s="46">
        <f>P60*0.001</f>
        <v>2.6000000000000002E-2</v>
      </c>
    </row>
    <row r="61" spans="1:18" ht="15">
      <c r="A61" s="398" t="s">
        <v>75</v>
      </c>
      <c r="B61" s="342">
        <f>P61</f>
        <v>0.12</v>
      </c>
      <c r="C61" s="46" t="s">
        <v>39</v>
      </c>
      <c r="D61" s="46" t="s">
        <v>40</v>
      </c>
      <c r="E61" s="46" t="s">
        <v>29</v>
      </c>
      <c r="F61" s="32" t="s">
        <v>35</v>
      </c>
      <c r="G61" s="46" t="s">
        <v>33</v>
      </c>
      <c r="H61" s="46">
        <v>2</v>
      </c>
      <c r="I61" s="46">
        <f t="shared" ref="I61:I62" si="5">LN(B61)</f>
        <v>-2.120263536200091</v>
      </c>
      <c r="J61" s="46">
        <v>7.2284161474004766E-2</v>
      </c>
      <c r="K61" s="46" t="s">
        <v>31</v>
      </c>
      <c r="L61" s="46" t="s">
        <v>31</v>
      </c>
      <c r="M61" s="46" t="s">
        <v>31</v>
      </c>
      <c r="O61" s="393" t="s">
        <v>216</v>
      </c>
      <c r="P61" s="120">
        <v>0.12</v>
      </c>
    </row>
    <row r="62" spans="1:18">
      <c r="A62" s="373" t="s">
        <v>783</v>
      </c>
      <c r="B62" s="46">
        <f>1*0.001</f>
        <v>1E-3</v>
      </c>
      <c r="C62" s="46" t="s">
        <v>37</v>
      </c>
      <c r="D62" s="400" t="s">
        <v>2</v>
      </c>
      <c r="E62" s="46" t="s">
        <v>29</v>
      </c>
      <c r="F62" s="32" t="s">
        <v>741</v>
      </c>
      <c r="G62" s="46" t="s">
        <v>33</v>
      </c>
      <c r="H62" s="46">
        <v>2</v>
      </c>
      <c r="I62" s="46">
        <f t="shared" si="5"/>
        <v>-6.9077552789821368</v>
      </c>
      <c r="J62" s="46">
        <v>7.2284161474004766E-2</v>
      </c>
      <c r="K62" s="46" t="s">
        <v>31</v>
      </c>
      <c r="L62" s="46" t="s">
        <v>31</v>
      </c>
      <c r="M62" s="46" t="s">
        <v>31</v>
      </c>
    </row>
    <row r="63" spans="1:18" s="17" customFormat="1" ht="15.75">
      <c r="A63" s="396" t="s">
        <v>5</v>
      </c>
      <c r="B63" s="363" t="s">
        <v>1225</v>
      </c>
      <c r="C63" s="364"/>
      <c r="D63" s="345"/>
      <c r="E63" s="345"/>
      <c r="F63" s="345"/>
      <c r="G63" s="345"/>
      <c r="H63" s="345"/>
      <c r="I63" s="345"/>
      <c r="J63" s="345"/>
      <c r="K63" s="345"/>
      <c r="L63" s="345"/>
      <c r="M63" s="345"/>
      <c r="N63" s="345"/>
      <c r="O63" s="414"/>
      <c r="P63" s="414"/>
      <c r="Q63" s="414"/>
      <c r="R63" s="414"/>
    </row>
    <row r="64" spans="1:18" s="17" customFormat="1" ht="15.75">
      <c r="A64" s="398" t="s">
        <v>7</v>
      </c>
      <c r="B64" s="46" t="s">
        <v>779</v>
      </c>
      <c r="C64" s="337"/>
      <c r="D64" s="46"/>
      <c r="E64" s="46"/>
      <c r="F64" s="46"/>
      <c r="G64" s="46"/>
      <c r="H64" s="46"/>
      <c r="I64" s="46"/>
      <c r="J64" s="46"/>
      <c r="K64" s="46"/>
      <c r="L64" s="46"/>
      <c r="M64" s="46"/>
      <c r="N64" s="46"/>
    </row>
    <row r="65" spans="1:16" s="17" customFormat="1" ht="15.75">
      <c r="A65" s="398" t="s">
        <v>9</v>
      </c>
      <c r="B65" s="46" t="s">
        <v>1228</v>
      </c>
      <c r="C65" s="337"/>
      <c r="D65" s="46"/>
      <c r="E65" s="46"/>
      <c r="F65" s="46"/>
      <c r="G65" s="46"/>
      <c r="H65" s="46"/>
      <c r="I65" s="46"/>
      <c r="J65" s="46"/>
      <c r="K65" s="46"/>
      <c r="L65" s="46"/>
      <c r="M65" s="46"/>
      <c r="N65" s="46"/>
    </row>
    <row r="66" spans="1:16" s="17" customFormat="1" ht="10.5" customHeight="1">
      <c r="A66" s="398" t="s">
        <v>11</v>
      </c>
      <c r="B66" s="339" t="s">
        <v>789</v>
      </c>
      <c r="C66" s="46"/>
      <c r="D66" s="46"/>
      <c r="E66" s="46"/>
      <c r="F66" s="46"/>
      <c r="G66" s="46"/>
      <c r="H66" s="46"/>
      <c r="I66" s="46"/>
      <c r="J66" s="46"/>
      <c r="K66" s="46"/>
      <c r="L66" s="46"/>
      <c r="M66" s="46"/>
      <c r="N66" s="46"/>
    </row>
    <row r="67" spans="1:16" s="17" customFormat="1" ht="15.75">
      <c r="A67" s="398" t="s">
        <v>13</v>
      </c>
      <c r="B67" s="46" t="s">
        <v>14</v>
      </c>
      <c r="C67" s="46"/>
      <c r="D67" s="46"/>
      <c r="E67" s="46"/>
      <c r="F67" s="46"/>
      <c r="G67" s="46"/>
      <c r="H67" s="46"/>
      <c r="I67" s="46"/>
      <c r="J67" s="46"/>
      <c r="K67" s="46"/>
      <c r="L67" s="46"/>
      <c r="M67" s="46"/>
      <c r="N67" s="46"/>
    </row>
    <row r="68" spans="1:16" s="17" customFormat="1" ht="15.75">
      <c r="A68" s="398" t="s">
        <v>15</v>
      </c>
      <c r="B68" s="350">
        <f>B73</f>
        <v>0.31</v>
      </c>
      <c r="C68" s="46"/>
      <c r="D68" s="46"/>
      <c r="E68" s="46"/>
      <c r="F68" s="46"/>
      <c r="G68" s="46"/>
      <c r="H68" s="46"/>
      <c r="I68" s="46"/>
      <c r="J68" s="46"/>
      <c r="K68" s="46"/>
      <c r="L68" s="46"/>
      <c r="M68" s="46"/>
      <c r="N68" s="46"/>
    </row>
    <row r="69" spans="1:16" s="17" customFormat="1" ht="15.75">
      <c r="A69" s="398" t="s">
        <v>16</v>
      </c>
      <c r="B69" s="46" t="s">
        <v>17</v>
      </c>
      <c r="C69" s="46"/>
      <c r="D69" s="46"/>
      <c r="E69" s="46"/>
      <c r="F69" s="46"/>
      <c r="G69" s="46"/>
      <c r="H69" s="46"/>
      <c r="I69" s="46"/>
      <c r="J69" s="46"/>
      <c r="K69" s="46"/>
      <c r="L69" s="46"/>
      <c r="M69" s="46"/>
      <c r="N69" s="46"/>
    </row>
    <row r="70" spans="1:16" s="17" customFormat="1" ht="15.75">
      <c r="A70" s="398" t="s">
        <v>18</v>
      </c>
      <c r="B70" s="46" t="s">
        <v>37</v>
      </c>
      <c r="C70" s="46"/>
      <c r="D70" s="46"/>
      <c r="E70" s="46"/>
      <c r="F70" s="46"/>
      <c r="G70" s="46"/>
      <c r="H70" s="46"/>
      <c r="I70" s="46"/>
      <c r="J70" s="46"/>
      <c r="K70" s="46"/>
      <c r="L70" s="46"/>
      <c r="M70" s="46"/>
      <c r="N70" s="46"/>
    </row>
    <row r="71" spans="1:16" s="17" customFormat="1" ht="15.75">
      <c r="A71" s="399" t="s">
        <v>19</v>
      </c>
      <c r="B71" s="46"/>
      <c r="C71" s="46"/>
      <c r="D71" s="46"/>
      <c r="E71" s="46"/>
      <c r="F71" s="46"/>
      <c r="G71" s="46"/>
      <c r="H71" s="46"/>
      <c r="I71" s="46"/>
      <c r="J71" s="46"/>
      <c r="K71" s="46"/>
      <c r="L71" s="46"/>
      <c r="M71" s="46"/>
      <c r="N71" s="46"/>
    </row>
    <row r="72" spans="1:16" s="17" customFormat="1" ht="15.75">
      <c r="A72" s="399" t="s">
        <v>20</v>
      </c>
      <c r="B72" s="336" t="s">
        <v>21</v>
      </c>
      <c r="C72" s="336" t="s">
        <v>18</v>
      </c>
      <c r="D72" s="336" t="s">
        <v>22</v>
      </c>
      <c r="E72" s="336" t="s">
        <v>7</v>
      </c>
      <c r="F72" s="336" t="s">
        <v>13</v>
      </c>
      <c r="G72" s="336" t="s">
        <v>16</v>
      </c>
      <c r="H72" s="336" t="s">
        <v>23</v>
      </c>
      <c r="I72" s="336" t="s">
        <v>24</v>
      </c>
      <c r="J72" s="336" t="s">
        <v>25</v>
      </c>
      <c r="K72" s="336" t="s">
        <v>26</v>
      </c>
      <c r="L72" s="336" t="s">
        <v>27</v>
      </c>
      <c r="M72" s="336" t="s">
        <v>28</v>
      </c>
      <c r="N72" s="336" t="s">
        <v>11</v>
      </c>
    </row>
    <row r="73" spans="1:16" s="17" customFormat="1" ht="15.75">
      <c r="A73" s="373" t="s">
        <v>1225</v>
      </c>
      <c r="B73" s="342">
        <v>0.31</v>
      </c>
      <c r="C73" s="46" t="s">
        <v>37</v>
      </c>
      <c r="D73" s="400" t="s">
        <v>2</v>
      </c>
      <c r="E73" s="46" t="s">
        <v>29</v>
      </c>
      <c r="F73" s="32" t="s">
        <v>14</v>
      </c>
      <c r="G73" s="46" t="s">
        <v>30</v>
      </c>
      <c r="H73" s="46">
        <v>1</v>
      </c>
      <c r="I73" s="350">
        <f>B73</f>
        <v>0.31</v>
      </c>
      <c r="J73" s="46" t="s">
        <v>31</v>
      </c>
      <c r="K73" s="46" t="s">
        <v>31</v>
      </c>
      <c r="L73" s="46" t="s">
        <v>31</v>
      </c>
      <c r="M73" s="46" t="s">
        <v>31</v>
      </c>
      <c r="N73" s="46"/>
      <c r="O73" s="44"/>
      <c r="P73" s="415"/>
    </row>
    <row r="74" spans="1:16" s="17" customFormat="1" ht="15.75">
      <c r="A74" s="61" t="s">
        <v>704</v>
      </c>
      <c r="B74" s="342">
        <v>0.31</v>
      </c>
      <c r="C74" s="46" t="s">
        <v>37</v>
      </c>
      <c r="D74" s="46" t="s">
        <v>40</v>
      </c>
      <c r="E74" s="46" t="s">
        <v>29</v>
      </c>
      <c r="F74" s="32" t="s">
        <v>58</v>
      </c>
      <c r="G74" s="46" t="s">
        <v>33</v>
      </c>
      <c r="H74" s="46">
        <v>1</v>
      </c>
      <c r="I74" s="350">
        <f t="shared" ref="I74:I75" si="6">B74</f>
        <v>0.31</v>
      </c>
      <c r="J74" s="46" t="s">
        <v>31</v>
      </c>
      <c r="K74" s="46" t="s">
        <v>31</v>
      </c>
      <c r="L74" s="46" t="s">
        <v>31</v>
      </c>
      <c r="M74" s="46" t="s">
        <v>31</v>
      </c>
      <c r="N74" s="46"/>
      <c r="O74" s="44"/>
      <c r="P74" s="415"/>
    </row>
    <row r="75" spans="1:16" s="17" customFormat="1" ht="15.75">
      <c r="A75" s="61" t="s">
        <v>871</v>
      </c>
      <c r="B75" s="342">
        <v>0.31</v>
      </c>
      <c r="C75" s="46" t="s">
        <v>37</v>
      </c>
      <c r="D75" s="46" t="s">
        <v>40</v>
      </c>
      <c r="E75" s="46" t="s">
        <v>29</v>
      </c>
      <c r="F75" s="32" t="s">
        <v>58</v>
      </c>
      <c r="G75" s="46" t="s">
        <v>33</v>
      </c>
      <c r="H75" s="46">
        <v>1</v>
      </c>
      <c r="I75" s="350">
        <f t="shared" si="6"/>
        <v>0.31</v>
      </c>
      <c r="J75" s="46" t="s">
        <v>31</v>
      </c>
      <c r="K75" s="46" t="s">
        <v>31</v>
      </c>
      <c r="L75" s="46" t="s">
        <v>31</v>
      </c>
      <c r="M75" s="46" t="s">
        <v>31</v>
      </c>
      <c r="N75" s="46"/>
      <c r="O75" s="44"/>
      <c r="P75" s="415"/>
    </row>
    <row r="76" spans="1:16" s="414" customFormat="1" ht="15.75">
      <c r="A76" s="362" t="s">
        <v>5</v>
      </c>
      <c r="B76" s="363" t="s">
        <v>1229</v>
      </c>
      <c r="C76" s="364"/>
      <c r="D76" s="345"/>
      <c r="E76" s="345"/>
      <c r="F76" s="345"/>
      <c r="G76" s="345"/>
      <c r="H76" s="345"/>
      <c r="I76" s="345"/>
      <c r="J76" s="345"/>
      <c r="K76" s="345"/>
      <c r="L76" s="345"/>
      <c r="M76" s="345"/>
      <c r="N76" s="345"/>
    </row>
    <row r="77" spans="1:16" s="17" customFormat="1" ht="15.75">
      <c r="A77" s="338" t="s">
        <v>7</v>
      </c>
      <c r="B77" s="46" t="s">
        <v>779</v>
      </c>
      <c r="C77" s="337"/>
      <c r="D77" s="46"/>
      <c r="E77" s="46"/>
      <c r="F77" s="46"/>
      <c r="G77" s="46"/>
      <c r="H77" s="46"/>
      <c r="I77" s="46"/>
      <c r="J77" s="46"/>
      <c r="K77" s="46"/>
      <c r="L77" s="46"/>
      <c r="M77" s="46"/>
      <c r="N77" s="46"/>
    </row>
    <row r="78" spans="1:16" s="17" customFormat="1" ht="15.75">
      <c r="A78" s="416" t="s">
        <v>9</v>
      </c>
      <c r="B78" s="46" t="s">
        <v>1230</v>
      </c>
      <c r="C78" s="337"/>
      <c r="D78" s="46"/>
      <c r="E78" s="46"/>
      <c r="F78" s="46"/>
      <c r="G78" s="46"/>
      <c r="H78" s="46"/>
      <c r="I78" s="46"/>
      <c r="J78" s="46"/>
      <c r="K78" s="46"/>
      <c r="L78" s="46"/>
      <c r="M78" s="46"/>
      <c r="N78" s="46"/>
    </row>
    <row r="79" spans="1:16" s="17" customFormat="1" ht="15.75" customHeight="1">
      <c r="A79" s="338" t="s">
        <v>11</v>
      </c>
      <c r="B79" s="339" t="s">
        <v>789</v>
      </c>
      <c r="C79" s="46"/>
      <c r="D79" s="46"/>
      <c r="E79" s="46"/>
      <c r="F79" s="46"/>
      <c r="G79" s="46"/>
      <c r="H79" s="46"/>
      <c r="I79" s="46"/>
      <c r="J79" s="46"/>
      <c r="K79" s="46"/>
      <c r="L79" s="46"/>
      <c r="M79" s="46"/>
      <c r="N79" s="46"/>
    </row>
    <row r="80" spans="1:16" s="17" customFormat="1" ht="15.75">
      <c r="A80" s="338" t="s">
        <v>13</v>
      </c>
      <c r="B80" s="46" t="s">
        <v>14</v>
      </c>
      <c r="C80" s="46"/>
      <c r="D80" s="46"/>
      <c r="E80" s="46"/>
      <c r="F80" s="46"/>
      <c r="G80" s="46"/>
      <c r="H80" s="46"/>
      <c r="I80" s="46"/>
      <c r="J80" s="46"/>
      <c r="K80" s="46"/>
      <c r="L80" s="46"/>
      <c r="M80" s="46"/>
      <c r="N80" s="46"/>
    </row>
    <row r="81" spans="1:19" s="17" customFormat="1" ht="15.75">
      <c r="A81" s="338" t="s">
        <v>15</v>
      </c>
      <c r="B81" s="417">
        <f>B86</f>
        <v>8.6</v>
      </c>
      <c r="C81" s="46"/>
      <c r="D81" s="46"/>
      <c r="E81" s="46"/>
      <c r="F81" s="46"/>
      <c r="G81" s="46"/>
      <c r="H81" s="46"/>
      <c r="I81" s="46"/>
      <c r="J81" s="46"/>
      <c r="K81" s="46"/>
      <c r="L81" s="46"/>
      <c r="M81" s="46"/>
      <c r="N81" s="46"/>
    </row>
    <row r="82" spans="1:19" s="17" customFormat="1" ht="15.75">
      <c r="A82" s="338" t="s">
        <v>16</v>
      </c>
      <c r="B82" s="46" t="s">
        <v>17</v>
      </c>
      <c r="C82" s="46"/>
      <c r="D82" s="46"/>
      <c r="E82" s="46"/>
      <c r="F82" s="46"/>
      <c r="G82" s="46"/>
      <c r="H82" s="46"/>
      <c r="I82" s="46"/>
      <c r="J82" s="46"/>
      <c r="K82" s="46"/>
      <c r="L82" s="46"/>
      <c r="M82" s="46"/>
      <c r="N82" s="46"/>
    </row>
    <row r="83" spans="1:19" s="17" customFormat="1" ht="15.75">
      <c r="A83" s="338" t="s">
        <v>18</v>
      </c>
      <c r="B83" s="46" t="s">
        <v>37</v>
      </c>
      <c r="C83" s="46"/>
      <c r="D83" s="46"/>
      <c r="E83" s="46"/>
      <c r="F83" s="46"/>
      <c r="G83" s="46"/>
      <c r="H83" s="46"/>
      <c r="I83" s="46"/>
      <c r="J83" s="46"/>
      <c r="K83" s="46"/>
      <c r="L83" s="46"/>
      <c r="M83" s="46"/>
      <c r="N83" s="46"/>
      <c r="S83" s="418"/>
    </row>
    <row r="84" spans="1:19" s="17" customFormat="1" ht="15.75">
      <c r="A84" s="335" t="s">
        <v>19</v>
      </c>
      <c r="B84" s="46"/>
      <c r="C84" s="46"/>
      <c r="D84" s="46"/>
      <c r="E84" s="46"/>
      <c r="F84" s="46"/>
      <c r="G84" s="46"/>
      <c r="H84" s="46"/>
      <c r="I84" s="46"/>
      <c r="J84" s="46"/>
      <c r="K84" s="46"/>
      <c r="L84" s="46"/>
      <c r="M84" s="46"/>
      <c r="N84" s="46"/>
    </row>
    <row r="85" spans="1:19" s="17" customFormat="1" ht="15.75">
      <c r="A85" s="336" t="s">
        <v>20</v>
      </c>
      <c r="B85" s="336" t="s">
        <v>21</v>
      </c>
      <c r="C85" s="336" t="s">
        <v>18</v>
      </c>
      <c r="D85" s="336" t="s">
        <v>22</v>
      </c>
      <c r="E85" s="336" t="s">
        <v>7</v>
      </c>
      <c r="F85" s="336" t="s">
        <v>13</v>
      </c>
      <c r="G85" s="336" t="s">
        <v>16</v>
      </c>
      <c r="H85" s="336" t="s">
        <v>23</v>
      </c>
      <c r="I85" s="336" t="s">
        <v>24</v>
      </c>
      <c r="J85" s="336" t="s">
        <v>25</v>
      </c>
      <c r="K85" s="336" t="s">
        <v>26</v>
      </c>
      <c r="L85" s="336" t="s">
        <v>27</v>
      </c>
      <c r="M85" s="336" t="s">
        <v>28</v>
      </c>
      <c r="N85" s="336" t="s">
        <v>11</v>
      </c>
    </row>
    <row r="86" spans="1:19" s="17" customFormat="1" ht="15.75">
      <c r="A86" s="46" t="s">
        <v>1229</v>
      </c>
      <c r="B86" s="350">
        <v>8.6</v>
      </c>
      <c r="C86" s="46" t="s">
        <v>37</v>
      </c>
      <c r="D86" s="400" t="s">
        <v>2</v>
      </c>
      <c r="E86" s="46" t="s">
        <v>29</v>
      </c>
      <c r="F86" s="46" t="s">
        <v>14</v>
      </c>
      <c r="G86" s="46" t="s">
        <v>874</v>
      </c>
      <c r="H86" s="46">
        <v>1</v>
      </c>
      <c r="I86" s="350">
        <f>B86</f>
        <v>8.6</v>
      </c>
      <c r="J86" s="46" t="s">
        <v>31</v>
      </c>
      <c r="K86" s="46" t="s">
        <v>31</v>
      </c>
      <c r="L86" s="46" t="s">
        <v>31</v>
      </c>
      <c r="M86" s="46" t="s">
        <v>31</v>
      </c>
      <c r="N86" s="46"/>
      <c r="O86" s="44"/>
      <c r="P86" s="415"/>
    </row>
    <row r="87" spans="1:19" s="17" customFormat="1" ht="15.75">
      <c r="A87" s="47" t="s">
        <v>655</v>
      </c>
      <c r="B87" s="350">
        <v>8.6</v>
      </c>
      <c r="C87" s="46" t="s">
        <v>37</v>
      </c>
      <c r="D87" s="46" t="s">
        <v>40</v>
      </c>
      <c r="E87" s="46" t="s">
        <v>29</v>
      </c>
      <c r="F87" s="32" t="s">
        <v>58</v>
      </c>
      <c r="G87" s="46" t="s">
        <v>33</v>
      </c>
      <c r="H87" s="46">
        <v>1</v>
      </c>
      <c r="I87" s="350">
        <f t="shared" ref="I87:I89" si="7">B87</f>
        <v>8.6</v>
      </c>
      <c r="J87" s="46" t="s">
        <v>31</v>
      </c>
      <c r="K87" s="46" t="s">
        <v>31</v>
      </c>
      <c r="L87" s="46" t="s">
        <v>31</v>
      </c>
      <c r="M87" s="46" t="s">
        <v>31</v>
      </c>
      <c r="N87" s="46"/>
      <c r="O87" s="44"/>
      <c r="P87" s="415"/>
    </row>
    <row r="88" spans="1:19" s="17" customFormat="1" ht="15.75">
      <c r="A88" s="47" t="s">
        <v>624</v>
      </c>
      <c r="B88" s="350">
        <v>8.6</v>
      </c>
      <c r="C88" s="46" t="s">
        <v>37</v>
      </c>
      <c r="D88" s="46" t="s">
        <v>40</v>
      </c>
      <c r="E88" s="46" t="s">
        <v>29</v>
      </c>
      <c r="F88" s="32" t="s">
        <v>58</v>
      </c>
      <c r="G88" s="46" t="s">
        <v>33</v>
      </c>
      <c r="H88" s="46">
        <v>1</v>
      </c>
      <c r="I88" s="350">
        <f t="shared" si="7"/>
        <v>8.6</v>
      </c>
      <c r="J88" s="46" t="s">
        <v>31</v>
      </c>
      <c r="K88" s="46" t="s">
        <v>31</v>
      </c>
      <c r="L88" s="46" t="s">
        <v>31</v>
      </c>
      <c r="M88" s="46" t="s">
        <v>31</v>
      </c>
      <c r="N88" s="46"/>
      <c r="O88" s="44"/>
      <c r="P88" s="415"/>
    </row>
    <row r="89" spans="1:19" s="17" customFormat="1" ht="15.75">
      <c r="A89" s="47" t="s">
        <v>875</v>
      </c>
      <c r="B89" s="350">
        <v>8.6</v>
      </c>
      <c r="C89" s="46" t="s">
        <v>37</v>
      </c>
      <c r="D89" s="46" t="s">
        <v>40</v>
      </c>
      <c r="E89" s="46" t="s">
        <v>29</v>
      </c>
      <c r="F89" s="32" t="s">
        <v>35</v>
      </c>
      <c r="G89" s="46" t="s">
        <v>33</v>
      </c>
      <c r="H89" s="46">
        <v>1</v>
      </c>
      <c r="I89" s="350">
        <f t="shared" si="7"/>
        <v>8.6</v>
      </c>
      <c r="J89" s="46" t="s">
        <v>31</v>
      </c>
      <c r="K89" s="46" t="s">
        <v>31</v>
      </c>
      <c r="L89" s="46" t="s">
        <v>31</v>
      </c>
      <c r="M89" s="46" t="s">
        <v>31</v>
      </c>
      <c r="N89" s="46"/>
      <c r="O89" s="44"/>
      <c r="P89" s="415"/>
    </row>
    <row r="90" spans="1:19" s="17" customFormat="1" ht="15.75">
      <c r="A90" s="362" t="s">
        <v>5</v>
      </c>
      <c r="B90" s="363" t="s">
        <v>1214</v>
      </c>
      <c r="C90" s="364"/>
      <c r="D90" s="345"/>
      <c r="E90" s="345"/>
      <c r="F90" s="345"/>
      <c r="G90" s="345"/>
      <c r="H90" s="345"/>
      <c r="I90" s="345"/>
      <c r="J90" s="345"/>
      <c r="K90" s="345"/>
      <c r="L90" s="345"/>
      <c r="M90" s="345"/>
      <c r="N90" s="46"/>
    </row>
    <row r="91" spans="1:19" s="17" customFormat="1" ht="15.75">
      <c r="A91" s="338" t="s">
        <v>7</v>
      </c>
      <c r="B91" s="46" t="s">
        <v>779</v>
      </c>
      <c r="C91" s="337"/>
      <c r="D91" s="46"/>
      <c r="E91" s="46"/>
      <c r="F91" s="46"/>
      <c r="G91" s="46"/>
      <c r="H91" s="46"/>
      <c r="I91" s="46"/>
      <c r="J91" s="46"/>
      <c r="K91" s="46"/>
      <c r="L91" s="46"/>
      <c r="M91" s="46"/>
      <c r="N91" s="46"/>
    </row>
    <row r="92" spans="1:19" s="17" customFormat="1" ht="15.75">
      <c r="A92" s="338" t="s">
        <v>9</v>
      </c>
      <c r="B92" s="373" t="s">
        <v>1231</v>
      </c>
      <c r="C92" s="337"/>
      <c r="D92" s="46"/>
      <c r="E92" s="46"/>
      <c r="F92" s="46"/>
      <c r="G92" s="46"/>
      <c r="H92" s="46"/>
      <c r="I92" s="46"/>
      <c r="J92" s="46"/>
      <c r="K92" s="46"/>
      <c r="L92" s="46"/>
      <c r="M92" s="46"/>
      <c r="N92" s="46"/>
    </row>
    <row r="93" spans="1:19" s="17" customFormat="1" ht="15.75">
      <c r="A93" s="338" t="s">
        <v>11</v>
      </c>
      <c r="B93" s="339" t="s">
        <v>781</v>
      </c>
      <c r="C93" s="46"/>
      <c r="D93" s="46"/>
      <c r="E93" s="46"/>
      <c r="F93" s="46"/>
      <c r="G93" s="46"/>
      <c r="H93" s="46"/>
      <c r="I93" s="46"/>
      <c r="J93" s="46"/>
      <c r="K93" s="46"/>
      <c r="L93" s="46"/>
      <c r="M93" s="46"/>
      <c r="N93" s="46"/>
    </row>
    <row r="94" spans="1:19" s="17" customFormat="1" ht="15.75">
      <c r="A94" s="338" t="s">
        <v>13</v>
      </c>
      <c r="B94" s="32" t="s">
        <v>14</v>
      </c>
      <c r="C94" s="46"/>
      <c r="D94" s="46"/>
      <c r="E94" s="46"/>
      <c r="F94" s="46"/>
      <c r="G94" s="46"/>
      <c r="H94" s="46"/>
      <c r="I94" s="46"/>
      <c r="J94" s="46"/>
      <c r="K94" s="46"/>
      <c r="L94" s="46"/>
      <c r="M94" s="46"/>
      <c r="N94" s="46"/>
    </row>
    <row r="95" spans="1:19" s="17" customFormat="1" ht="15.75">
      <c r="A95" s="338" t="s">
        <v>15</v>
      </c>
      <c r="B95" s="350">
        <f>B100</f>
        <v>8.6</v>
      </c>
      <c r="C95" s="46"/>
      <c r="D95" s="46"/>
      <c r="E95" s="46"/>
      <c r="F95" s="46"/>
      <c r="G95" s="46"/>
      <c r="H95" s="46"/>
      <c r="I95" s="46"/>
      <c r="J95" s="46"/>
      <c r="K95" s="46"/>
      <c r="L95" s="46"/>
      <c r="M95" s="46"/>
      <c r="N95" s="46"/>
    </row>
    <row r="96" spans="1:19" s="17" customFormat="1" ht="15.75">
      <c r="A96" s="338" t="s">
        <v>16</v>
      </c>
      <c r="B96" s="46" t="s">
        <v>17</v>
      </c>
      <c r="C96" s="46"/>
      <c r="D96" s="46"/>
      <c r="E96" s="46"/>
      <c r="F96" s="46"/>
      <c r="G96" s="46"/>
      <c r="H96" s="46"/>
      <c r="I96" s="46"/>
      <c r="J96" s="46"/>
      <c r="K96" s="46"/>
      <c r="L96" s="46"/>
      <c r="M96" s="46"/>
      <c r="N96" s="46"/>
    </row>
    <row r="97" spans="1:14" s="17" customFormat="1" ht="15.75">
      <c r="A97" s="338" t="s">
        <v>18</v>
      </c>
      <c r="B97" s="46" t="s">
        <v>37</v>
      </c>
      <c r="C97" s="46"/>
      <c r="D97" s="46"/>
      <c r="E97" s="46"/>
      <c r="F97" s="46"/>
      <c r="G97" s="46"/>
      <c r="H97" s="46"/>
      <c r="I97" s="46"/>
      <c r="J97" s="46"/>
      <c r="K97" s="46"/>
      <c r="L97" s="46"/>
      <c r="M97" s="46"/>
      <c r="N97" s="46"/>
    </row>
    <row r="98" spans="1:14" s="17" customFormat="1" ht="15.75">
      <c r="A98" s="335" t="s">
        <v>19</v>
      </c>
      <c r="B98" s="46"/>
      <c r="C98" s="46"/>
      <c r="D98" s="46"/>
      <c r="E98" s="46"/>
      <c r="F98" s="46"/>
      <c r="G98" s="46"/>
      <c r="H98" s="46"/>
      <c r="I98" s="46"/>
      <c r="J98" s="46"/>
      <c r="K98" s="46"/>
      <c r="L98" s="46"/>
      <c r="M98" s="46"/>
      <c r="N98" s="46"/>
    </row>
    <row r="99" spans="1:14" s="17" customFormat="1" ht="15.75">
      <c r="A99" s="335" t="s">
        <v>20</v>
      </c>
      <c r="B99" s="336" t="s">
        <v>21</v>
      </c>
      <c r="C99" s="336" t="s">
        <v>18</v>
      </c>
      <c r="D99" s="336" t="s">
        <v>22</v>
      </c>
      <c r="E99" s="336" t="s">
        <v>7</v>
      </c>
      <c r="F99" s="336" t="s">
        <v>13</v>
      </c>
      <c r="G99" s="336" t="s">
        <v>16</v>
      </c>
      <c r="H99" s="336" t="s">
        <v>23</v>
      </c>
      <c r="I99" s="336" t="s">
        <v>24</v>
      </c>
      <c r="J99" s="336" t="s">
        <v>25</v>
      </c>
      <c r="K99" s="336" t="s">
        <v>26</v>
      </c>
      <c r="L99" s="336" t="s">
        <v>27</v>
      </c>
      <c r="M99" s="336" t="s">
        <v>28</v>
      </c>
      <c r="N99" s="336" t="s">
        <v>11</v>
      </c>
    </row>
    <row r="100" spans="1:14" s="17" customFormat="1" ht="15.75">
      <c r="A100" s="62" t="s">
        <v>1214</v>
      </c>
      <c r="B100" s="482">
        <f>B101</f>
        <v>8.6</v>
      </c>
      <c r="C100" s="46" t="s">
        <v>37</v>
      </c>
      <c r="D100" s="46" t="s">
        <v>2</v>
      </c>
      <c r="E100" s="46" t="s">
        <v>29</v>
      </c>
      <c r="F100" s="32" t="s">
        <v>14</v>
      </c>
      <c r="G100" s="46" t="s">
        <v>30</v>
      </c>
      <c r="H100" s="46">
        <v>1</v>
      </c>
      <c r="I100" s="46">
        <f>B100</f>
        <v>8.6</v>
      </c>
      <c r="J100" s="46" t="s">
        <v>31</v>
      </c>
      <c r="K100" s="46" t="s">
        <v>31</v>
      </c>
      <c r="L100" s="46" t="s">
        <v>31</v>
      </c>
      <c r="M100" s="46" t="s">
        <v>31</v>
      </c>
      <c r="N100" s="46"/>
    </row>
    <row r="101" spans="1:14" s="17" customFormat="1" ht="15.75">
      <c r="A101" s="62" t="s">
        <v>1229</v>
      </c>
      <c r="B101" s="482">
        <f>B86</f>
        <v>8.6</v>
      </c>
      <c r="C101" s="46" t="s">
        <v>37</v>
      </c>
      <c r="D101" s="46" t="s">
        <v>2</v>
      </c>
      <c r="E101" s="46" t="s">
        <v>29</v>
      </c>
      <c r="F101" s="32" t="s">
        <v>14</v>
      </c>
      <c r="G101" s="46" t="s">
        <v>33</v>
      </c>
      <c r="H101" s="46">
        <v>1</v>
      </c>
      <c r="I101" s="46">
        <f>B101</f>
        <v>8.6</v>
      </c>
      <c r="J101" s="46" t="s">
        <v>31</v>
      </c>
      <c r="K101" s="46" t="s">
        <v>31</v>
      </c>
      <c r="L101" s="46" t="s">
        <v>31</v>
      </c>
      <c r="M101" s="46" t="s">
        <v>31</v>
      </c>
      <c r="N101" s="46"/>
    </row>
    <row r="102" spans="1:14" s="17" customFormat="1" ht="15.75">
      <c r="A102" s="121" t="s">
        <v>877</v>
      </c>
      <c r="B102" s="46">
        <v>3.1E-2</v>
      </c>
      <c r="C102" s="46" t="s">
        <v>37</v>
      </c>
      <c r="D102" s="46" t="s">
        <v>40</v>
      </c>
      <c r="E102" s="46" t="s">
        <v>29</v>
      </c>
      <c r="F102" s="32" t="s">
        <v>128</v>
      </c>
      <c r="G102" s="46" t="s">
        <v>33</v>
      </c>
      <c r="H102" s="46">
        <v>1</v>
      </c>
      <c r="I102" s="46">
        <f t="shared" ref="I102:I104" si="8">B102</f>
        <v>3.1E-2</v>
      </c>
      <c r="J102" s="46" t="s">
        <v>31</v>
      </c>
      <c r="K102" s="46" t="s">
        <v>31</v>
      </c>
      <c r="L102" s="46" t="s">
        <v>31</v>
      </c>
      <c r="M102" s="46" t="s">
        <v>31</v>
      </c>
      <c r="N102" s="46"/>
    </row>
    <row r="103" spans="1:14" s="17" customFormat="1" ht="15.75">
      <c r="A103" s="121" t="s">
        <v>878</v>
      </c>
      <c r="B103" s="46">
        <v>0.72</v>
      </c>
      <c r="C103" s="46" t="s">
        <v>113</v>
      </c>
      <c r="D103" s="46" t="s">
        <v>40</v>
      </c>
      <c r="E103" s="46" t="s">
        <v>29</v>
      </c>
      <c r="F103" s="32" t="s">
        <v>58</v>
      </c>
      <c r="G103" s="46" t="s">
        <v>33</v>
      </c>
      <c r="H103" s="46">
        <v>1</v>
      </c>
      <c r="I103" s="46">
        <f t="shared" si="8"/>
        <v>0.72</v>
      </c>
      <c r="J103" s="46" t="s">
        <v>31</v>
      </c>
      <c r="K103" s="46" t="s">
        <v>31</v>
      </c>
      <c r="L103" s="46" t="s">
        <v>31</v>
      </c>
      <c r="M103" s="46" t="s">
        <v>31</v>
      </c>
      <c r="N103" s="46"/>
    </row>
    <row r="104" spans="1:14" s="17" customFormat="1" ht="15.75">
      <c r="A104" s="121" t="s">
        <v>593</v>
      </c>
      <c r="B104" s="46">
        <v>3.1E-2</v>
      </c>
      <c r="C104" s="46" t="s">
        <v>37</v>
      </c>
      <c r="D104" s="46" t="s">
        <v>40</v>
      </c>
      <c r="E104" s="46" t="s">
        <v>29</v>
      </c>
      <c r="F104" s="32" t="s">
        <v>58</v>
      </c>
      <c r="G104" s="46" t="s">
        <v>33</v>
      </c>
      <c r="H104" s="46">
        <v>1</v>
      </c>
      <c r="I104" s="46">
        <f t="shared" si="8"/>
        <v>3.1E-2</v>
      </c>
      <c r="J104" s="46" t="s">
        <v>31</v>
      </c>
      <c r="K104" s="46" t="s">
        <v>31</v>
      </c>
      <c r="L104" s="46" t="s">
        <v>31</v>
      </c>
      <c r="M104" s="46" t="s">
        <v>31</v>
      </c>
      <c r="N104" s="46"/>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CCC0-772A-4B0F-A9D5-FC64E4388286}">
  <sheetPr>
    <tabColor theme="6" tint="0.79998168889431442"/>
  </sheetPr>
  <dimension ref="A1:V47"/>
  <sheetViews>
    <sheetView topLeftCell="A9" zoomScale="70" zoomScaleNormal="70" workbookViewId="0">
      <selection activeCell="A36" sqref="A36"/>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s="46" t="s">
        <v>0</v>
      </c>
      <c r="B1" s="46">
        <v>13</v>
      </c>
      <c r="C1" s="46"/>
      <c r="D1" s="46"/>
      <c r="E1" s="46"/>
      <c r="F1" s="46"/>
      <c r="G1" s="46"/>
      <c r="H1" s="46"/>
      <c r="I1" s="46"/>
      <c r="J1" s="46"/>
      <c r="K1" s="46"/>
      <c r="L1" s="46"/>
      <c r="M1" s="46"/>
      <c r="N1" s="46"/>
      <c r="O1" s="46"/>
      <c r="P1" s="46"/>
      <c r="Q1" s="46"/>
      <c r="R1" s="46"/>
      <c r="S1" s="46"/>
      <c r="T1" s="46"/>
      <c r="U1" s="46"/>
      <c r="V1" s="46"/>
    </row>
    <row r="2" spans="1:22" s="41" customFormat="1">
      <c r="A2" s="362" t="s">
        <v>5</v>
      </c>
      <c r="B2" s="363" t="s">
        <v>1213</v>
      </c>
      <c r="C2" s="345"/>
      <c r="D2" s="345"/>
      <c r="E2" s="345"/>
      <c r="F2" s="345"/>
      <c r="G2" s="345"/>
      <c r="H2" s="345"/>
      <c r="I2" s="345"/>
      <c r="J2" s="345"/>
      <c r="K2" s="345"/>
      <c r="L2" s="345"/>
      <c r="M2" s="345"/>
      <c r="N2" s="345"/>
      <c r="O2" s="345"/>
      <c r="P2" s="345"/>
      <c r="Q2" s="345"/>
      <c r="R2" s="345"/>
      <c r="S2" s="345"/>
      <c r="T2" s="345"/>
      <c r="U2" s="345"/>
      <c r="V2" s="345"/>
    </row>
    <row r="3" spans="1:22">
      <c r="A3" s="338" t="s">
        <v>7</v>
      </c>
      <c r="B3" s="46" t="s">
        <v>779</v>
      </c>
      <c r="C3" s="337"/>
      <c r="D3" s="46"/>
      <c r="E3" s="46"/>
      <c r="F3" s="46"/>
      <c r="G3" s="46"/>
      <c r="H3" s="46"/>
      <c r="I3" s="46"/>
      <c r="J3" s="46"/>
      <c r="K3" s="46"/>
      <c r="L3" s="46"/>
      <c r="M3" s="46"/>
      <c r="N3" s="46"/>
      <c r="O3" s="46"/>
      <c r="P3" s="46"/>
      <c r="Q3" s="46"/>
      <c r="R3" s="46"/>
      <c r="S3" s="46"/>
      <c r="T3" s="46"/>
      <c r="U3" s="46"/>
      <c r="V3" s="46"/>
    </row>
    <row r="4" spans="1:22">
      <c r="A4" s="416" t="s">
        <v>9</v>
      </c>
      <c r="B4" s="46" t="s">
        <v>1232</v>
      </c>
      <c r="C4" s="337"/>
      <c r="D4" s="46"/>
      <c r="E4" s="46"/>
      <c r="F4" s="46"/>
      <c r="G4" s="46"/>
      <c r="H4" s="46"/>
      <c r="I4" s="46"/>
      <c r="J4" s="46"/>
      <c r="K4" s="46"/>
      <c r="L4" s="46"/>
      <c r="M4" s="46"/>
      <c r="N4" s="46"/>
      <c r="O4" s="46"/>
      <c r="P4" s="46"/>
      <c r="Q4" s="46"/>
      <c r="R4" s="46"/>
      <c r="S4" s="46"/>
      <c r="T4" s="46"/>
      <c r="U4" s="46"/>
      <c r="V4" s="46"/>
    </row>
    <row r="5" spans="1:22" ht="15.75" customHeight="1">
      <c r="A5" s="338" t="s">
        <v>11</v>
      </c>
      <c r="B5" s="339" t="s">
        <v>789</v>
      </c>
      <c r="C5" s="46"/>
      <c r="D5" s="46"/>
      <c r="E5" s="46"/>
      <c r="F5" s="46"/>
      <c r="G5" s="46"/>
      <c r="H5" s="46"/>
      <c r="I5" s="46"/>
      <c r="J5" s="46"/>
      <c r="K5" s="46"/>
      <c r="L5" s="46"/>
      <c r="M5" s="46"/>
      <c r="N5" s="46"/>
      <c r="O5" s="46"/>
      <c r="P5" s="46"/>
      <c r="Q5" s="46"/>
      <c r="R5" s="46"/>
      <c r="S5" s="46"/>
      <c r="T5" s="46"/>
      <c r="U5" s="46"/>
      <c r="V5" s="46"/>
    </row>
    <row r="6" spans="1:22">
      <c r="A6" s="338" t="s">
        <v>13</v>
      </c>
      <c r="B6" s="46" t="s">
        <v>14</v>
      </c>
      <c r="C6" s="46"/>
      <c r="D6" s="46"/>
      <c r="E6" s="46"/>
      <c r="F6" s="46"/>
      <c r="G6" s="46"/>
      <c r="H6" s="46"/>
      <c r="I6" s="46"/>
      <c r="J6" s="46"/>
      <c r="K6" s="46"/>
      <c r="L6" s="46"/>
      <c r="M6" s="46"/>
      <c r="N6" s="46"/>
      <c r="O6" s="46"/>
      <c r="P6" s="46"/>
      <c r="Q6" s="46"/>
      <c r="R6" s="46"/>
      <c r="S6" s="46"/>
      <c r="T6" s="46"/>
      <c r="U6" s="46"/>
      <c r="V6" s="46"/>
    </row>
    <row r="7" spans="1:22">
      <c r="A7" s="338" t="s">
        <v>15</v>
      </c>
      <c r="B7" s="407">
        <f>B12</f>
        <v>0.03</v>
      </c>
      <c r="C7" s="46"/>
      <c r="D7" s="46"/>
      <c r="E7" s="46"/>
      <c r="F7" s="46"/>
      <c r="G7" s="46"/>
      <c r="H7" s="46"/>
      <c r="I7" s="46"/>
      <c r="J7" s="46"/>
      <c r="K7" s="46"/>
      <c r="L7" s="46"/>
      <c r="M7" s="46"/>
      <c r="N7" s="46"/>
      <c r="O7" s="46"/>
      <c r="P7" s="46"/>
      <c r="Q7" s="46"/>
      <c r="R7" s="46"/>
      <c r="S7" s="46"/>
      <c r="T7" s="46"/>
      <c r="U7" s="46"/>
      <c r="V7" s="46"/>
    </row>
    <row r="8" spans="1:22">
      <c r="A8" s="338" t="s">
        <v>16</v>
      </c>
      <c r="B8" s="46" t="s">
        <v>17</v>
      </c>
      <c r="C8" s="46"/>
      <c r="D8" s="46"/>
      <c r="E8" s="46"/>
      <c r="F8" s="46"/>
      <c r="G8" s="46"/>
      <c r="H8" s="46"/>
      <c r="I8" s="46"/>
      <c r="J8" s="46"/>
      <c r="K8" s="46"/>
      <c r="L8" s="46"/>
      <c r="M8" s="46"/>
      <c r="N8" s="46"/>
      <c r="O8" s="46"/>
      <c r="P8" s="46"/>
      <c r="Q8" s="46"/>
      <c r="R8" s="46"/>
      <c r="S8" s="46"/>
      <c r="T8" s="46"/>
      <c r="U8" s="46"/>
      <c r="V8" s="46"/>
    </row>
    <row r="9" spans="1:22">
      <c r="A9" s="338" t="s">
        <v>18</v>
      </c>
      <c r="B9" s="46" t="s">
        <v>37</v>
      </c>
      <c r="C9" s="46"/>
      <c r="D9" s="46"/>
      <c r="E9" s="46"/>
      <c r="F9" s="46"/>
      <c r="G9" s="46"/>
      <c r="H9" s="46"/>
      <c r="I9" s="46"/>
      <c r="J9" s="46"/>
      <c r="K9" s="46"/>
      <c r="L9" s="46"/>
      <c r="M9" s="46"/>
      <c r="N9" s="46"/>
      <c r="O9" s="46"/>
      <c r="P9" s="46"/>
      <c r="Q9" s="46"/>
      <c r="R9" s="46"/>
      <c r="S9" s="336" t="s">
        <v>880</v>
      </c>
      <c r="T9" s="46"/>
      <c r="U9" s="46"/>
      <c r="V9" s="46"/>
    </row>
    <row r="10" spans="1:22">
      <c r="A10" s="335" t="s">
        <v>19</v>
      </c>
      <c r="B10" s="46"/>
      <c r="C10" s="46"/>
      <c r="D10" s="46"/>
      <c r="E10" s="46"/>
      <c r="F10" s="46"/>
      <c r="G10" s="46"/>
      <c r="H10" s="46"/>
      <c r="I10" s="46"/>
      <c r="J10" s="46"/>
      <c r="K10" s="46"/>
      <c r="L10" s="46"/>
      <c r="M10" s="46"/>
      <c r="N10" s="46"/>
      <c r="O10" s="46"/>
      <c r="P10" s="46"/>
      <c r="Q10" s="46"/>
      <c r="R10" s="46"/>
      <c r="S10" s="46" t="s">
        <v>881</v>
      </c>
      <c r="T10" s="46">
        <v>8900</v>
      </c>
      <c r="U10" s="46" t="s">
        <v>882</v>
      </c>
      <c r="V10" s="46"/>
    </row>
    <row r="11" spans="1:22">
      <c r="A11" s="336"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c r="O11" s="46"/>
      <c r="P11" s="46"/>
      <c r="Q11" s="46"/>
      <c r="R11" s="46"/>
      <c r="S11" s="46" t="s">
        <v>883</v>
      </c>
      <c r="T11" s="46">
        <f>5*10^-6</f>
        <v>4.9999999999999996E-6</v>
      </c>
      <c r="U11" s="46" t="s">
        <v>884</v>
      </c>
      <c r="V11" s="46"/>
    </row>
    <row r="12" spans="1:22">
      <c r="A12" s="46" t="s">
        <v>1213</v>
      </c>
      <c r="B12" s="453">
        <f>B13</f>
        <v>0.03</v>
      </c>
      <c r="C12" s="46" t="s">
        <v>37</v>
      </c>
      <c r="D12" s="400" t="s">
        <v>2</v>
      </c>
      <c r="E12" s="46" t="s">
        <v>29</v>
      </c>
      <c r="F12" s="46" t="s">
        <v>14</v>
      </c>
      <c r="G12" s="46" t="s">
        <v>30</v>
      </c>
      <c r="H12" s="46">
        <v>1</v>
      </c>
      <c r="I12" s="46">
        <v>1</v>
      </c>
      <c r="J12" s="46" t="s">
        <v>31</v>
      </c>
      <c r="K12" s="46" t="s">
        <v>31</v>
      </c>
      <c r="L12" s="46" t="s">
        <v>31</v>
      </c>
      <c r="M12" s="46" t="s">
        <v>31</v>
      </c>
      <c r="N12" s="46"/>
      <c r="O12" s="381" t="s">
        <v>1233</v>
      </c>
      <c r="P12" s="442"/>
      <c r="Q12" s="46" t="s">
        <v>202</v>
      </c>
      <c r="R12" s="46"/>
      <c r="S12" s="419" t="s">
        <v>885</v>
      </c>
      <c r="T12" s="420">
        <f>T11*T10</f>
        <v>4.4499999999999998E-2</v>
      </c>
      <c r="U12" s="421" t="s">
        <v>886</v>
      </c>
      <c r="V12" s="46"/>
    </row>
    <row r="13" spans="1:22">
      <c r="A13" s="46" t="s">
        <v>1234</v>
      </c>
      <c r="B13" s="453">
        <f>B28</f>
        <v>0.03</v>
      </c>
      <c r="C13" s="46" t="s">
        <v>113</v>
      </c>
      <c r="D13" s="400" t="s">
        <v>2</v>
      </c>
      <c r="E13" s="46" t="s">
        <v>29</v>
      </c>
      <c r="F13" s="46" t="s">
        <v>14</v>
      </c>
      <c r="G13" s="46" t="s">
        <v>33</v>
      </c>
      <c r="H13" s="46">
        <v>1</v>
      </c>
      <c r="I13" s="407">
        <f>B13</f>
        <v>0.03</v>
      </c>
      <c r="J13" s="46">
        <v>7.2284161474004766E-2</v>
      </c>
      <c r="K13" s="46" t="s">
        <v>31</v>
      </c>
      <c r="L13" s="46" t="s">
        <v>31</v>
      </c>
      <c r="M13" s="46" t="s">
        <v>31</v>
      </c>
      <c r="N13" s="46"/>
      <c r="O13" s="393" t="s">
        <v>887</v>
      </c>
      <c r="P13" s="454">
        <f>B13*100</f>
        <v>3</v>
      </c>
      <c r="Q13" s="46"/>
      <c r="R13" s="46"/>
      <c r="S13" s="46"/>
      <c r="T13" s="46"/>
      <c r="U13" s="46"/>
      <c r="V13" s="46"/>
    </row>
    <row r="14" spans="1:22">
      <c r="A14" s="62" t="s">
        <v>1226</v>
      </c>
      <c r="B14" s="412">
        <f>U15</f>
        <v>6.497E-2</v>
      </c>
      <c r="C14" s="46" t="s">
        <v>37</v>
      </c>
      <c r="D14" s="400" t="s">
        <v>2</v>
      </c>
      <c r="E14" s="46" t="s">
        <v>29</v>
      </c>
      <c r="F14" s="32" t="s">
        <v>14</v>
      </c>
      <c r="G14" s="46" t="s">
        <v>33</v>
      </c>
      <c r="H14" s="46">
        <v>1</v>
      </c>
      <c r="I14" s="407">
        <f>B14</f>
        <v>6.497E-2</v>
      </c>
      <c r="J14" s="46">
        <v>7.2284161474004766E-2</v>
      </c>
      <c r="K14" s="46" t="s">
        <v>31</v>
      </c>
      <c r="L14" s="46" t="s">
        <v>31</v>
      </c>
      <c r="M14" s="46" t="s">
        <v>31</v>
      </c>
      <c r="N14" s="46"/>
      <c r="O14" s="424"/>
      <c r="P14" s="425"/>
      <c r="Q14" s="46"/>
      <c r="R14" s="46"/>
      <c r="S14" s="46" t="s">
        <v>548</v>
      </c>
      <c r="T14" s="46"/>
      <c r="U14" s="46"/>
      <c r="V14" s="402"/>
    </row>
    <row r="15" spans="1:22">
      <c r="A15" s="338" t="s">
        <v>792</v>
      </c>
      <c r="B15" s="46">
        <f>Q15</f>
        <v>9.5</v>
      </c>
      <c r="C15" s="46" t="s">
        <v>37</v>
      </c>
      <c r="D15" s="46" t="s">
        <v>40</v>
      </c>
      <c r="E15" s="46" t="s">
        <v>29</v>
      </c>
      <c r="F15" s="32" t="s">
        <v>741</v>
      </c>
      <c r="G15" s="46" t="s">
        <v>33</v>
      </c>
      <c r="H15" s="46">
        <v>2</v>
      </c>
      <c r="I15" s="46">
        <f t="shared" ref="I15" si="0">LN(B15)</f>
        <v>2.2512917986064953</v>
      </c>
      <c r="J15" s="46">
        <v>7.2284161474004766E-2</v>
      </c>
      <c r="K15" s="46" t="s">
        <v>31</v>
      </c>
      <c r="L15" s="46" t="s">
        <v>31</v>
      </c>
      <c r="M15" s="46" t="s">
        <v>31</v>
      </c>
      <c r="N15" s="46"/>
      <c r="O15" s="393" t="s">
        <v>221</v>
      </c>
      <c r="P15" s="120">
        <v>9.5</v>
      </c>
      <c r="Q15" s="46">
        <f>P15</f>
        <v>9.5</v>
      </c>
      <c r="R15" s="46"/>
      <c r="S15" s="422">
        <v>1.46</v>
      </c>
      <c r="T15" s="423" t="s">
        <v>605</v>
      </c>
      <c r="U15" s="422">
        <f>S15*T12</f>
        <v>6.497E-2</v>
      </c>
      <c r="V15" s="423" t="s">
        <v>221</v>
      </c>
    </row>
    <row r="16" spans="1:22">
      <c r="A16" s="47" t="s">
        <v>869</v>
      </c>
      <c r="B16" s="46">
        <f>Q16</f>
        <v>4.9999999999999998E-7</v>
      </c>
      <c r="C16" s="46" t="s">
        <v>37</v>
      </c>
      <c r="D16" s="46" t="s">
        <v>40</v>
      </c>
      <c r="E16" s="46" t="s">
        <v>29</v>
      </c>
      <c r="F16" s="32" t="s">
        <v>58</v>
      </c>
      <c r="G16" s="46" t="s">
        <v>33</v>
      </c>
      <c r="H16" s="46">
        <v>2</v>
      </c>
      <c r="I16" s="46">
        <f>LN(B16)</f>
        <v>-14.508657738524219</v>
      </c>
      <c r="J16" s="46">
        <v>7.2284161474004766E-2</v>
      </c>
      <c r="K16" s="46" t="s">
        <v>31</v>
      </c>
      <c r="L16" s="46" t="s">
        <v>31</v>
      </c>
      <c r="M16" s="46" t="s">
        <v>31</v>
      </c>
      <c r="N16" s="46"/>
      <c r="O16" s="408" t="s">
        <v>523</v>
      </c>
      <c r="P16" s="168">
        <v>0.5</v>
      </c>
      <c r="Q16" s="46">
        <f>0.000001*P16</f>
        <v>4.9999999999999998E-7</v>
      </c>
      <c r="R16" s="46"/>
      <c r="S16" s="46"/>
      <c r="T16" s="46"/>
      <c r="U16" s="46"/>
      <c r="V16" s="46"/>
    </row>
    <row r="17" spans="1:22">
      <c r="A17" s="47" t="s">
        <v>226</v>
      </c>
      <c r="B17" s="46">
        <f t="shared" ref="B17" si="1">Q17</f>
        <v>9.4999999999999998E-3</v>
      </c>
      <c r="C17" s="46" t="s">
        <v>42</v>
      </c>
      <c r="D17" s="46" t="s">
        <v>40</v>
      </c>
      <c r="E17" s="46" t="s">
        <v>29</v>
      </c>
      <c r="F17" s="32" t="s">
        <v>741</v>
      </c>
      <c r="G17" s="46" t="s">
        <v>33</v>
      </c>
      <c r="H17" s="46">
        <v>2</v>
      </c>
      <c r="I17" s="46">
        <f t="shared" ref="I17" si="2">LN(B17)</f>
        <v>-4.656463480375642</v>
      </c>
      <c r="J17" s="46">
        <v>7.2284161474004766E-2</v>
      </c>
      <c r="K17" s="46" t="s">
        <v>31</v>
      </c>
      <c r="L17" s="46" t="s">
        <v>31</v>
      </c>
      <c r="M17" s="46" t="s">
        <v>31</v>
      </c>
      <c r="N17" s="46"/>
      <c r="O17" s="410" t="s">
        <v>858</v>
      </c>
      <c r="P17" s="155">
        <v>9.5</v>
      </c>
      <c r="Q17" s="46">
        <f>0.001*P17</f>
        <v>9.4999999999999998E-3</v>
      </c>
      <c r="R17" s="46"/>
      <c r="S17" s="46"/>
      <c r="T17" s="46"/>
      <c r="U17" s="46"/>
      <c r="V17" s="46"/>
    </row>
    <row r="18" spans="1:22" s="41" customFormat="1">
      <c r="A18" s="362" t="s">
        <v>5</v>
      </c>
      <c r="B18" s="363" t="s">
        <v>1234</v>
      </c>
      <c r="C18" s="345"/>
      <c r="D18" s="345"/>
      <c r="E18" s="345"/>
      <c r="F18" s="345"/>
      <c r="G18" s="345"/>
      <c r="H18" s="345"/>
      <c r="I18" s="345"/>
      <c r="J18" s="345"/>
      <c r="K18" s="345"/>
      <c r="L18" s="345"/>
      <c r="M18" s="345"/>
      <c r="N18" s="345"/>
      <c r="O18" s="345"/>
      <c r="P18" s="345"/>
      <c r="Q18" s="345"/>
      <c r="R18" s="345"/>
      <c r="S18" s="345"/>
      <c r="T18" s="345"/>
      <c r="U18" s="345"/>
      <c r="V18" s="345"/>
    </row>
    <row r="19" spans="1:22">
      <c r="A19" s="338" t="s">
        <v>7</v>
      </c>
      <c r="B19" s="46" t="s">
        <v>779</v>
      </c>
      <c r="C19" s="337"/>
      <c r="D19" s="46"/>
      <c r="E19" s="46"/>
      <c r="F19" s="46"/>
      <c r="G19" s="46"/>
      <c r="H19" s="46"/>
      <c r="I19" s="46"/>
      <c r="J19" s="46"/>
      <c r="K19" s="46"/>
      <c r="L19" s="46"/>
      <c r="M19" s="46"/>
      <c r="N19" s="46"/>
      <c r="O19" s="46"/>
      <c r="P19" s="46"/>
      <c r="Q19" s="46"/>
      <c r="R19" s="46"/>
      <c r="S19" s="46"/>
      <c r="T19" s="46"/>
      <c r="U19" s="46"/>
      <c r="V19" s="46"/>
    </row>
    <row r="20" spans="1:22">
      <c r="A20" s="416" t="s">
        <v>9</v>
      </c>
      <c r="B20" s="373" t="s">
        <v>1235</v>
      </c>
      <c r="C20" s="337"/>
      <c r="D20" s="46"/>
      <c r="E20" s="46"/>
      <c r="F20" s="46"/>
      <c r="G20" s="46"/>
      <c r="H20" s="46"/>
      <c r="I20" s="46"/>
      <c r="J20" s="46"/>
      <c r="K20" s="46"/>
      <c r="L20" s="46"/>
      <c r="M20" s="46"/>
      <c r="N20" s="46"/>
      <c r="O20" s="46"/>
      <c r="P20" s="46"/>
      <c r="Q20" s="46"/>
      <c r="R20" s="46"/>
      <c r="S20" s="46"/>
      <c r="T20" s="46"/>
      <c r="U20" s="46"/>
      <c r="V20" s="46"/>
    </row>
    <row r="21" spans="1:22" ht="15.75" customHeight="1">
      <c r="A21" s="338" t="s">
        <v>11</v>
      </c>
      <c r="B21" s="339" t="s">
        <v>789</v>
      </c>
      <c r="C21" s="46"/>
      <c r="D21" s="46"/>
      <c r="E21" s="46"/>
      <c r="F21" s="46"/>
      <c r="G21" s="46"/>
      <c r="H21" s="46"/>
      <c r="I21" s="46"/>
      <c r="J21" s="46"/>
      <c r="K21" s="46"/>
      <c r="L21" s="46"/>
      <c r="M21" s="46"/>
      <c r="N21" s="46"/>
      <c r="O21" s="46"/>
      <c r="P21" s="46"/>
      <c r="Q21" s="46"/>
      <c r="R21" s="46"/>
      <c r="S21" s="46"/>
      <c r="T21" s="46"/>
      <c r="U21" s="46"/>
      <c r="V21" s="46"/>
    </row>
    <row r="22" spans="1:22">
      <c r="A22" s="338" t="s">
        <v>13</v>
      </c>
      <c r="B22" s="46" t="s">
        <v>14</v>
      </c>
      <c r="C22" s="46"/>
      <c r="D22" s="46"/>
      <c r="E22" s="46"/>
      <c r="F22" s="46"/>
      <c r="G22" s="46"/>
      <c r="H22" s="46"/>
      <c r="I22" s="46"/>
      <c r="J22" s="46"/>
      <c r="K22" s="46"/>
      <c r="L22" s="46"/>
      <c r="M22" s="46"/>
      <c r="N22" s="46"/>
      <c r="O22" s="46"/>
      <c r="P22" s="46"/>
      <c r="Q22" s="46"/>
      <c r="R22" s="46"/>
      <c r="S22" s="46"/>
      <c r="T22" s="46"/>
      <c r="U22" s="46"/>
      <c r="V22" s="46"/>
    </row>
    <row r="23" spans="1:22">
      <c r="A23" s="338" t="s">
        <v>15</v>
      </c>
      <c r="B23" s="407">
        <f>B28</f>
        <v>0.03</v>
      </c>
      <c r="C23" s="46"/>
      <c r="D23" s="46"/>
      <c r="E23" s="46"/>
      <c r="F23" s="46"/>
      <c r="G23" s="46"/>
      <c r="H23" s="46"/>
      <c r="I23" s="46"/>
      <c r="J23" s="46"/>
      <c r="K23" s="46"/>
      <c r="L23" s="46"/>
      <c r="M23" s="46"/>
      <c r="N23" s="46"/>
      <c r="O23" s="46"/>
      <c r="P23" s="46"/>
      <c r="Q23" s="46"/>
      <c r="R23" s="46"/>
      <c r="S23" s="46"/>
      <c r="T23" s="46"/>
      <c r="U23" s="46"/>
      <c r="V23" s="46"/>
    </row>
    <row r="24" spans="1:22">
      <c r="A24" s="338" t="s">
        <v>16</v>
      </c>
      <c r="B24" s="46" t="s">
        <v>17</v>
      </c>
      <c r="C24" s="46"/>
      <c r="D24" s="46"/>
      <c r="E24" s="46"/>
      <c r="F24" s="46"/>
      <c r="G24" s="46"/>
      <c r="H24" s="46"/>
      <c r="I24" s="46"/>
      <c r="J24" s="46"/>
      <c r="K24" s="46"/>
      <c r="L24" s="46"/>
      <c r="M24" s="46"/>
      <c r="N24" s="46"/>
      <c r="O24" s="46"/>
      <c r="P24" s="46"/>
      <c r="Q24" s="46"/>
      <c r="R24" s="46"/>
      <c r="S24" s="46"/>
      <c r="T24" s="46"/>
      <c r="U24" s="46"/>
      <c r="V24" s="46"/>
    </row>
    <row r="25" spans="1:22">
      <c r="A25" s="338" t="s">
        <v>18</v>
      </c>
      <c r="B25" s="46" t="s">
        <v>113</v>
      </c>
      <c r="C25" s="46"/>
      <c r="D25" s="46"/>
      <c r="E25" s="46"/>
      <c r="F25" s="46"/>
      <c r="G25" s="46"/>
      <c r="H25" s="46"/>
      <c r="I25" s="46"/>
      <c r="J25" s="46"/>
      <c r="K25" s="46"/>
      <c r="L25" s="46"/>
      <c r="M25" s="46"/>
      <c r="N25" s="46"/>
      <c r="O25" s="46"/>
      <c r="P25" s="46"/>
      <c r="Q25" s="46"/>
      <c r="R25" s="46"/>
      <c r="S25" s="46"/>
      <c r="T25" s="46"/>
      <c r="U25" s="46"/>
      <c r="V25" s="46"/>
    </row>
    <row r="26" spans="1:22">
      <c r="A26" s="335" t="s">
        <v>19</v>
      </c>
      <c r="B26" s="46"/>
      <c r="C26" s="46"/>
      <c r="D26" s="46"/>
      <c r="E26" s="46"/>
      <c r="F26" s="46"/>
      <c r="G26" s="46"/>
      <c r="H26" s="46"/>
      <c r="I26" s="46"/>
      <c r="J26" s="46"/>
      <c r="K26" s="46"/>
      <c r="L26" s="46"/>
      <c r="M26" s="46"/>
      <c r="N26" s="46"/>
      <c r="O26" s="46"/>
      <c r="P26" s="46"/>
      <c r="Q26" s="46"/>
      <c r="R26" s="46"/>
      <c r="S26" s="46"/>
      <c r="T26" s="46"/>
      <c r="U26" s="46"/>
      <c r="V26" s="46"/>
    </row>
    <row r="27" spans="1:22">
      <c r="A27" s="336" t="s">
        <v>20</v>
      </c>
      <c r="B27" s="336" t="s">
        <v>21</v>
      </c>
      <c r="C27" s="336" t="s">
        <v>18</v>
      </c>
      <c r="D27" s="336" t="s">
        <v>22</v>
      </c>
      <c r="E27" s="336" t="s">
        <v>7</v>
      </c>
      <c r="F27" s="336" t="s">
        <v>13</v>
      </c>
      <c r="G27" s="336" t="s">
        <v>16</v>
      </c>
      <c r="H27" s="336" t="s">
        <v>23</v>
      </c>
      <c r="I27" s="336" t="s">
        <v>24</v>
      </c>
      <c r="J27" s="336" t="s">
        <v>25</v>
      </c>
      <c r="K27" s="336" t="s">
        <v>26</v>
      </c>
      <c r="L27" s="336" t="s">
        <v>27</v>
      </c>
      <c r="M27" s="336" t="s">
        <v>28</v>
      </c>
      <c r="N27" s="336" t="s">
        <v>11</v>
      </c>
      <c r="O27" s="46"/>
      <c r="P27" s="46"/>
      <c r="Q27" s="46"/>
      <c r="R27" s="46"/>
      <c r="S27" s="46"/>
      <c r="T27" s="407"/>
      <c r="U27" s="46"/>
      <c r="V27" s="46"/>
    </row>
    <row r="28" spans="1:22">
      <c r="A28" s="46" t="s">
        <v>1234</v>
      </c>
      <c r="B28" s="407">
        <v>0.03</v>
      </c>
      <c r="C28" s="46" t="s">
        <v>113</v>
      </c>
      <c r="D28" s="400" t="s">
        <v>2</v>
      </c>
      <c r="E28" s="46" t="s">
        <v>29</v>
      </c>
      <c r="F28" s="46" t="s">
        <v>14</v>
      </c>
      <c r="G28" s="46" t="s">
        <v>30</v>
      </c>
      <c r="H28" s="46">
        <v>1</v>
      </c>
      <c r="I28" s="407">
        <f>B28</f>
        <v>0.03</v>
      </c>
      <c r="J28" s="46">
        <v>7.2284161474004766E-2</v>
      </c>
      <c r="K28" s="46" t="s">
        <v>31</v>
      </c>
      <c r="L28" s="46" t="s">
        <v>31</v>
      </c>
      <c r="M28" s="46" t="s">
        <v>31</v>
      </c>
      <c r="N28" s="46"/>
      <c r="O28" s="393" t="s">
        <v>887</v>
      </c>
      <c r="P28" s="406">
        <f>B28*100</f>
        <v>3</v>
      </c>
      <c r="Q28" s="46"/>
      <c r="R28" s="46"/>
      <c r="S28" s="46"/>
      <c r="T28" s="46"/>
      <c r="U28" s="46"/>
      <c r="V28" s="46"/>
    </row>
    <row r="29" spans="1:22">
      <c r="A29" s="46" t="s">
        <v>1236</v>
      </c>
      <c r="B29" s="407">
        <v>0.03</v>
      </c>
      <c r="C29" s="46" t="s">
        <v>113</v>
      </c>
      <c r="D29" s="400" t="s">
        <v>2</v>
      </c>
      <c r="E29" s="46" t="s">
        <v>29</v>
      </c>
      <c r="F29" s="46" t="s">
        <v>14</v>
      </c>
      <c r="G29" s="46" t="s">
        <v>33</v>
      </c>
      <c r="H29" s="46">
        <v>1</v>
      </c>
      <c r="I29" s="407">
        <f>B29</f>
        <v>0.03</v>
      </c>
      <c r="J29" s="46">
        <v>7.2284161474004766E-2</v>
      </c>
      <c r="K29" s="46" t="s">
        <v>31</v>
      </c>
      <c r="L29" s="46" t="s">
        <v>31</v>
      </c>
      <c r="M29" s="46" t="s">
        <v>31</v>
      </c>
      <c r="N29" s="46"/>
      <c r="O29" s="46"/>
      <c r="P29" s="46"/>
      <c r="Q29" s="46"/>
      <c r="R29" s="46"/>
      <c r="S29" s="46"/>
      <c r="T29" s="46"/>
      <c r="U29" s="46"/>
      <c r="V29" s="46"/>
    </row>
    <row r="30" spans="1:22">
      <c r="A30" s="338" t="s">
        <v>75</v>
      </c>
      <c r="B30" s="342">
        <f>P30</f>
        <v>0.52</v>
      </c>
      <c r="C30" s="46" t="s">
        <v>39</v>
      </c>
      <c r="D30" s="46" t="s">
        <v>40</v>
      </c>
      <c r="E30" s="46" t="s">
        <v>29</v>
      </c>
      <c r="F30" s="32" t="s">
        <v>35</v>
      </c>
      <c r="G30" s="46" t="s">
        <v>33</v>
      </c>
      <c r="H30" s="46">
        <v>2</v>
      </c>
      <c r="I30" s="46">
        <f t="shared" ref="I30:I31" si="3">LN(B30)</f>
        <v>-0.65392646740666394</v>
      </c>
      <c r="J30" s="46">
        <v>7.2284161474004766E-2</v>
      </c>
      <c r="K30" s="46" t="s">
        <v>31</v>
      </c>
      <c r="L30" s="46" t="s">
        <v>31</v>
      </c>
      <c r="M30" s="46" t="s">
        <v>31</v>
      </c>
      <c r="N30" s="46"/>
      <c r="O30" s="393" t="s">
        <v>216</v>
      </c>
      <c r="P30" s="120">
        <v>0.52</v>
      </c>
      <c r="Q30" s="46"/>
      <c r="R30" s="46"/>
      <c r="S30" s="46"/>
      <c r="T30" s="46"/>
      <c r="U30" s="46"/>
      <c r="V30" s="46"/>
    </row>
    <row r="31" spans="1:22">
      <c r="A31" s="47" t="s">
        <v>547</v>
      </c>
      <c r="B31" s="46">
        <f>R31</f>
        <v>1.2E-2</v>
      </c>
      <c r="C31" s="407" t="s">
        <v>37</v>
      </c>
      <c r="D31" s="46" t="s">
        <v>40</v>
      </c>
      <c r="E31" s="46" t="s">
        <v>29</v>
      </c>
      <c r="F31" s="46" t="s">
        <v>58</v>
      </c>
      <c r="G31" s="46" t="s">
        <v>33</v>
      </c>
      <c r="H31" s="46">
        <v>2</v>
      </c>
      <c r="I31" s="46">
        <f t="shared" si="3"/>
        <v>-4.4228486291941369</v>
      </c>
      <c r="J31" s="46">
        <v>7.2284161474004766E-2</v>
      </c>
      <c r="K31" s="46" t="s">
        <v>31</v>
      </c>
      <c r="L31" s="46" t="s">
        <v>31</v>
      </c>
      <c r="M31" s="46" t="s">
        <v>31</v>
      </c>
      <c r="N31" s="46"/>
      <c r="O31" s="393" t="s">
        <v>575</v>
      </c>
      <c r="P31" s="120">
        <v>12</v>
      </c>
      <c r="Q31" s="46" t="s">
        <v>221</v>
      </c>
      <c r="R31" s="46">
        <f>P31*0.001</f>
        <v>1.2E-2</v>
      </c>
      <c r="S31" s="46"/>
      <c r="T31" s="46"/>
      <c r="U31" s="46"/>
      <c r="V31" s="46"/>
    </row>
    <row r="32" spans="1:22">
      <c r="A32" s="61" t="s">
        <v>866</v>
      </c>
      <c r="B32" s="46">
        <f t="shared" ref="B32:B33" si="4">R32</f>
        <v>2.1999999999999999E-2</v>
      </c>
      <c r="C32" s="46" t="s">
        <v>37</v>
      </c>
      <c r="D32" s="46" t="s">
        <v>40</v>
      </c>
      <c r="E32" s="46" t="s">
        <v>29</v>
      </c>
      <c r="F32" s="32" t="s">
        <v>35</v>
      </c>
      <c r="G32" s="46" t="s">
        <v>33</v>
      </c>
      <c r="H32" s="46">
        <v>2</v>
      </c>
      <c r="I32" s="46">
        <f>LN(B32)</f>
        <v>-3.8167128256238212</v>
      </c>
      <c r="J32" s="46">
        <v>7.2284161474004766E-2</v>
      </c>
      <c r="K32" s="46" t="s">
        <v>31</v>
      </c>
      <c r="L32" s="46" t="s">
        <v>31</v>
      </c>
      <c r="M32" s="46" t="s">
        <v>31</v>
      </c>
      <c r="N32" s="46"/>
      <c r="O32" s="393" t="s">
        <v>575</v>
      </c>
      <c r="P32" s="120">
        <v>22</v>
      </c>
      <c r="Q32" s="46" t="s">
        <v>221</v>
      </c>
      <c r="R32" s="46">
        <f>P32*0.001</f>
        <v>2.1999999999999999E-2</v>
      </c>
      <c r="S32" s="46"/>
      <c r="T32" s="46"/>
      <c r="U32" s="46"/>
      <c r="V32" s="46"/>
    </row>
    <row r="33" spans="1:22">
      <c r="A33" s="338" t="s">
        <v>792</v>
      </c>
      <c r="B33" s="46">
        <f t="shared" si="4"/>
        <v>19.7</v>
      </c>
      <c r="C33" s="46" t="s">
        <v>37</v>
      </c>
      <c r="D33" s="46" t="s">
        <v>40</v>
      </c>
      <c r="E33" s="46" t="s">
        <v>29</v>
      </c>
      <c r="F33" s="32" t="s">
        <v>741</v>
      </c>
      <c r="G33" s="46" t="s">
        <v>33</v>
      </c>
      <c r="H33" s="46">
        <v>2</v>
      </c>
      <c r="I33" s="46">
        <f t="shared" ref="I33:I34" si="5">LN(B33)</f>
        <v>2.9806186357439426</v>
      </c>
      <c r="J33" s="46">
        <v>7.2284161474004766E-2</v>
      </c>
      <c r="K33" s="46" t="s">
        <v>31</v>
      </c>
      <c r="L33" s="46" t="s">
        <v>31</v>
      </c>
      <c r="M33" s="46" t="s">
        <v>31</v>
      </c>
      <c r="N33" s="46"/>
      <c r="O33" s="393" t="s">
        <v>221</v>
      </c>
      <c r="P33" s="120">
        <v>19.7</v>
      </c>
      <c r="Q33" s="46" t="s">
        <v>221</v>
      </c>
      <c r="R33" s="46">
        <f>P33</f>
        <v>19.7</v>
      </c>
      <c r="S33" s="46"/>
      <c r="T33" s="46"/>
      <c r="U33" s="46"/>
      <c r="V33" s="46"/>
    </row>
    <row r="34" spans="1:22">
      <c r="A34" s="47" t="s">
        <v>226</v>
      </c>
      <c r="B34" s="46">
        <f>R34</f>
        <v>1.9699999999999999E-2</v>
      </c>
      <c r="C34" s="46" t="s">
        <v>42</v>
      </c>
      <c r="D34" s="46" t="s">
        <v>40</v>
      </c>
      <c r="E34" s="46" t="s">
        <v>29</v>
      </c>
      <c r="F34" s="32" t="s">
        <v>741</v>
      </c>
      <c r="G34" s="46" t="s">
        <v>33</v>
      </c>
      <c r="H34" s="46">
        <v>2</v>
      </c>
      <c r="I34" s="46">
        <f t="shared" si="5"/>
        <v>-3.9271366432381942</v>
      </c>
      <c r="J34" s="46">
        <v>7.2284161474004766E-2</v>
      </c>
      <c r="K34" s="46" t="s">
        <v>31</v>
      </c>
      <c r="L34" s="46" t="s">
        <v>31</v>
      </c>
      <c r="M34" s="46" t="s">
        <v>31</v>
      </c>
      <c r="N34" s="46"/>
      <c r="O34" s="410" t="s">
        <v>858</v>
      </c>
      <c r="P34" s="155">
        <v>19.7</v>
      </c>
      <c r="Q34" s="46" t="s">
        <v>219</v>
      </c>
      <c r="R34" s="46">
        <f>0.001*P34</f>
        <v>1.9699999999999999E-2</v>
      </c>
      <c r="S34" s="46"/>
      <c r="T34" s="46"/>
      <c r="U34" s="46"/>
      <c r="V34" s="46"/>
    </row>
    <row r="35" spans="1:22" s="41" customFormat="1">
      <c r="A35" s="362" t="s">
        <v>5</v>
      </c>
      <c r="B35" s="363" t="s">
        <v>1236</v>
      </c>
      <c r="C35" s="345"/>
      <c r="D35" s="345"/>
      <c r="E35" s="345"/>
      <c r="F35" s="345"/>
      <c r="G35" s="345"/>
      <c r="H35" s="345"/>
      <c r="I35" s="345"/>
      <c r="J35" s="345"/>
      <c r="K35" s="345"/>
      <c r="L35" s="345"/>
      <c r="M35" s="345"/>
      <c r="N35" s="345"/>
      <c r="O35" s="345"/>
      <c r="P35" s="345"/>
      <c r="Q35" s="345"/>
      <c r="R35" s="345"/>
      <c r="S35" s="345"/>
      <c r="T35" s="345"/>
      <c r="U35" s="345"/>
      <c r="V35" s="345"/>
    </row>
    <row r="36" spans="1:22">
      <c r="A36" s="338" t="s">
        <v>7</v>
      </c>
      <c r="B36" s="46" t="s">
        <v>779</v>
      </c>
      <c r="C36" s="337"/>
      <c r="D36" s="46"/>
      <c r="E36" s="46"/>
      <c r="F36" s="46"/>
      <c r="G36" s="46"/>
      <c r="H36" s="46"/>
      <c r="I36" s="46"/>
      <c r="J36" s="46"/>
      <c r="K36" s="46"/>
      <c r="L36" s="46"/>
      <c r="M36" s="46"/>
      <c r="N36" s="46"/>
      <c r="O36" s="46"/>
      <c r="P36" s="46"/>
      <c r="Q36" s="46"/>
      <c r="R36" s="46"/>
      <c r="S36" s="46"/>
      <c r="T36" s="46"/>
      <c r="U36" s="46"/>
      <c r="V36" s="46"/>
    </row>
    <row r="37" spans="1:22">
      <c r="A37" s="416" t="s">
        <v>9</v>
      </c>
      <c r="B37" s="373" t="s">
        <v>1237</v>
      </c>
      <c r="C37" s="337"/>
      <c r="D37" s="46"/>
      <c r="E37" s="46"/>
      <c r="F37" s="46"/>
      <c r="G37" s="46"/>
      <c r="H37" s="46"/>
      <c r="I37" s="46"/>
      <c r="J37" s="46"/>
      <c r="K37" s="46"/>
      <c r="L37" s="46"/>
      <c r="M37" s="46"/>
      <c r="N37" s="46"/>
      <c r="O37" s="46"/>
      <c r="P37" s="46"/>
      <c r="Q37" s="46"/>
      <c r="R37" s="46"/>
      <c r="S37" s="46"/>
      <c r="T37" s="46"/>
      <c r="U37" s="46"/>
      <c r="V37" s="46"/>
    </row>
    <row r="38" spans="1:22" ht="15.75" customHeight="1">
      <c r="A38" s="338" t="s">
        <v>11</v>
      </c>
      <c r="B38" s="339" t="s">
        <v>789</v>
      </c>
      <c r="C38" s="46"/>
      <c r="D38" s="46"/>
      <c r="E38" s="46"/>
      <c r="F38" s="46"/>
      <c r="G38" s="46"/>
      <c r="H38" s="46"/>
      <c r="I38" s="46"/>
      <c r="J38" s="46"/>
      <c r="K38" s="46"/>
      <c r="L38" s="46"/>
      <c r="M38" s="46"/>
      <c r="N38" s="46"/>
      <c r="O38" s="46"/>
      <c r="P38" s="46"/>
      <c r="Q38" s="46"/>
      <c r="R38" s="46"/>
      <c r="S38" s="46"/>
      <c r="T38" s="46"/>
      <c r="U38" s="46"/>
      <c r="V38" s="46"/>
    </row>
    <row r="39" spans="1:22">
      <c r="A39" s="338" t="s">
        <v>13</v>
      </c>
      <c r="B39" s="46" t="s">
        <v>14</v>
      </c>
      <c r="C39" s="46"/>
      <c r="D39" s="46"/>
      <c r="E39" s="46"/>
      <c r="F39" s="46"/>
      <c r="G39" s="46"/>
      <c r="H39" s="46"/>
      <c r="I39" s="46"/>
      <c r="J39" s="46"/>
      <c r="K39" s="46"/>
      <c r="L39" s="46"/>
      <c r="M39" s="46"/>
      <c r="N39" s="46"/>
      <c r="O39" s="46"/>
      <c r="P39" s="46"/>
      <c r="Q39" s="46"/>
      <c r="R39" s="46"/>
      <c r="S39" s="46"/>
      <c r="T39" s="46"/>
      <c r="U39" s="46"/>
      <c r="V39" s="46"/>
    </row>
    <row r="40" spans="1:22">
      <c r="A40" s="338" t="s">
        <v>15</v>
      </c>
      <c r="B40" s="407">
        <f>B45</f>
        <v>0.03</v>
      </c>
      <c r="C40" s="46"/>
      <c r="D40" s="46"/>
      <c r="E40" s="46"/>
      <c r="F40" s="46"/>
      <c r="G40" s="46"/>
      <c r="H40" s="46"/>
      <c r="I40" s="46"/>
      <c r="J40" s="46"/>
      <c r="K40" s="46"/>
      <c r="L40" s="46"/>
      <c r="M40" s="46"/>
      <c r="N40" s="46"/>
      <c r="O40" s="46"/>
      <c r="P40" s="46"/>
      <c r="Q40" s="46"/>
      <c r="R40" s="46"/>
      <c r="S40" s="46"/>
      <c r="T40" s="46"/>
      <c r="U40" s="46"/>
      <c r="V40" s="46"/>
    </row>
    <row r="41" spans="1:22">
      <c r="A41" s="338" t="s">
        <v>16</v>
      </c>
      <c r="B41" s="46" t="s">
        <v>17</v>
      </c>
      <c r="C41" s="46"/>
      <c r="D41" s="46"/>
      <c r="E41" s="46"/>
      <c r="F41" s="46"/>
      <c r="G41" s="46"/>
      <c r="H41" s="46"/>
      <c r="I41" s="46"/>
      <c r="J41" s="46"/>
      <c r="K41" s="46"/>
      <c r="L41" s="46"/>
      <c r="M41" s="46"/>
      <c r="N41" s="46"/>
      <c r="O41" s="46"/>
      <c r="P41" s="46"/>
      <c r="Q41" s="46"/>
      <c r="R41" s="46"/>
      <c r="S41" s="46"/>
      <c r="T41" s="46"/>
      <c r="U41" s="46"/>
      <c r="V41" s="46"/>
    </row>
    <row r="42" spans="1:22">
      <c r="A42" s="338" t="s">
        <v>18</v>
      </c>
      <c r="B42" s="46" t="s">
        <v>113</v>
      </c>
      <c r="C42" s="46"/>
      <c r="D42" s="46"/>
      <c r="E42" s="46"/>
      <c r="F42" s="46"/>
      <c r="G42" s="46"/>
      <c r="H42" s="46"/>
      <c r="I42" s="46"/>
      <c r="J42" s="46"/>
      <c r="K42" s="46"/>
      <c r="L42" s="46"/>
      <c r="M42" s="46"/>
      <c r="N42" s="46"/>
      <c r="O42" s="46"/>
      <c r="P42" s="46"/>
      <c r="Q42" s="46"/>
      <c r="R42" s="46"/>
      <c r="S42" s="46"/>
      <c r="T42" s="46"/>
      <c r="U42" s="46"/>
      <c r="V42" s="46"/>
    </row>
    <row r="43" spans="1:22">
      <c r="A43" s="335" t="s">
        <v>19</v>
      </c>
      <c r="B43" s="46"/>
      <c r="C43" s="46"/>
      <c r="D43" s="46"/>
      <c r="E43" s="46"/>
      <c r="F43" s="46"/>
      <c r="G43" s="46"/>
      <c r="H43" s="46"/>
      <c r="I43" s="46"/>
      <c r="J43" s="46"/>
      <c r="K43" s="46"/>
      <c r="L43" s="46"/>
      <c r="M43" s="46"/>
      <c r="N43" s="46"/>
      <c r="O43" s="46"/>
      <c r="P43" s="46"/>
      <c r="Q43" s="46"/>
      <c r="R43" s="46"/>
      <c r="S43" s="46"/>
      <c r="T43" s="46"/>
      <c r="U43" s="46"/>
      <c r="V43" s="46"/>
    </row>
    <row r="44" spans="1:22">
      <c r="A44" s="336" t="s">
        <v>20</v>
      </c>
      <c r="B44" s="336" t="s">
        <v>21</v>
      </c>
      <c r="C44" s="336" t="s">
        <v>18</v>
      </c>
      <c r="D44" s="336" t="s">
        <v>22</v>
      </c>
      <c r="E44" s="336" t="s">
        <v>7</v>
      </c>
      <c r="F44" s="336" t="s">
        <v>13</v>
      </c>
      <c r="G44" s="336" t="s">
        <v>16</v>
      </c>
      <c r="H44" s="336" t="s">
        <v>23</v>
      </c>
      <c r="I44" s="336" t="s">
        <v>24</v>
      </c>
      <c r="J44" s="336" t="s">
        <v>25</v>
      </c>
      <c r="K44" s="336" t="s">
        <v>26</v>
      </c>
      <c r="L44" s="336" t="s">
        <v>27</v>
      </c>
      <c r="M44" s="336" t="s">
        <v>28</v>
      </c>
      <c r="N44" s="336" t="s">
        <v>11</v>
      </c>
      <c r="O44" s="46"/>
      <c r="P44" s="46"/>
      <c r="Q44" s="46"/>
      <c r="R44" s="46"/>
      <c r="S44" s="46"/>
      <c r="T44" s="407"/>
      <c r="U44" s="46"/>
      <c r="V44" s="46"/>
    </row>
    <row r="45" spans="1:22">
      <c r="A45" s="46" t="s">
        <v>1236</v>
      </c>
      <c r="B45" s="407">
        <f>B29</f>
        <v>0.03</v>
      </c>
      <c r="C45" s="46" t="s">
        <v>113</v>
      </c>
      <c r="D45" s="400" t="s">
        <v>2</v>
      </c>
      <c r="E45" s="46" t="s">
        <v>29</v>
      </c>
      <c r="F45" s="46" t="s">
        <v>14</v>
      </c>
      <c r="G45" s="46" t="s">
        <v>30</v>
      </c>
      <c r="H45" s="46">
        <v>1</v>
      </c>
      <c r="I45" s="407">
        <f>B45</f>
        <v>0.03</v>
      </c>
      <c r="J45" s="46" t="s">
        <v>31</v>
      </c>
      <c r="K45" s="46" t="s">
        <v>31</v>
      </c>
      <c r="L45" s="46" t="s">
        <v>31</v>
      </c>
      <c r="M45" s="46" t="s">
        <v>31</v>
      </c>
      <c r="N45" s="46"/>
      <c r="O45" s="46"/>
      <c r="P45" s="46"/>
      <c r="Q45" s="46" t="s">
        <v>1238</v>
      </c>
      <c r="R45" s="46"/>
      <c r="S45" s="46"/>
      <c r="T45" s="46"/>
      <c r="U45" s="46"/>
      <c r="V45" s="46"/>
    </row>
    <row r="46" spans="1:22">
      <c r="A46" s="47" t="s">
        <v>892</v>
      </c>
      <c r="B46" s="454">
        <v>0.4</v>
      </c>
      <c r="C46" s="46" t="s">
        <v>37</v>
      </c>
      <c r="D46" s="46" t="s">
        <v>40</v>
      </c>
      <c r="E46" s="46" t="s">
        <v>29</v>
      </c>
      <c r="F46" s="46" t="s">
        <v>128</v>
      </c>
      <c r="G46" s="46" t="s">
        <v>33</v>
      </c>
      <c r="H46" s="46">
        <v>1</v>
      </c>
      <c r="I46" s="407">
        <f t="shared" ref="I46:I47" si="6">B46</f>
        <v>0.4</v>
      </c>
      <c r="J46" s="46" t="s">
        <v>31</v>
      </c>
      <c r="K46" s="46" t="s">
        <v>31</v>
      </c>
      <c r="L46" s="46" t="s">
        <v>31</v>
      </c>
      <c r="M46" s="46" t="s">
        <v>31</v>
      </c>
      <c r="N46" s="46"/>
      <c r="O46" s="46"/>
      <c r="P46" s="46"/>
      <c r="Q46" s="46"/>
      <c r="R46" s="46"/>
      <c r="S46" s="46"/>
      <c r="T46" s="46"/>
      <c r="U46" s="46"/>
      <c r="V46" s="46"/>
    </row>
    <row r="47" spans="1:22">
      <c r="A47" s="47" t="s">
        <v>893</v>
      </c>
      <c r="B47" s="454">
        <v>0.4</v>
      </c>
      <c r="C47" s="46" t="s">
        <v>37</v>
      </c>
      <c r="D47" s="46" t="s">
        <v>40</v>
      </c>
      <c r="E47" s="46" t="s">
        <v>29</v>
      </c>
      <c r="F47" s="46" t="s">
        <v>58</v>
      </c>
      <c r="G47" s="46" t="s">
        <v>33</v>
      </c>
      <c r="H47" s="46">
        <v>1</v>
      </c>
      <c r="I47" s="407">
        <f t="shared" si="6"/>
        <v>0.4</v>
      </c>
      <c r="J47" s="46" t="s">
        <v>31</v>
      </c>
      <c r="K47" s="46" t="s">
        <v>31</v>
      </c>
      <c r="L47" s="46" t="s">
        <v>31</v>
      </c>
      <c r="M47" s="46" t="s">
        <v>31</v>
      </c>
      <c r="N47" s="46"/>
      <c r="O47" s="46"/>
      <c r="P47" s="46"/>
      <c r="Q47" s="46"/>
      <c r="R47" s="46"/>
      <c r="S47" s="46"/>
      <c r="T47" s="46"/>
      <c r="U47" s="46"/>
      <c r="V47" s="46"/>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8B15C-D514-4C4D-A21A-93662EA84430}">
  <sheetPr>
    <tabColor theme="6" tint="0.79998168889431442"/>
  </sheetPr>
  <dimension ref="A1:Y57"/>
  <sheetViews>
    <sheetView topLeftCell="A15" zoomScale="85" zoomScaleNormal="85"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46" t="s">
        <v>0</v>
      </c>
      <c r="B1" s="46">
        <v>14</v>
      </c>
      <c r="C1" s="46"/>
      <c r="D1" s="46"/>
      <c r="E1" s="46"/>
      <c r="F1" s="46"/>
      <c r="G1" s="46"/>
      <c r="H1" s="46"/>
      <c r="I1" s="46"/>
      <c r="J1" s="46"/>
      <c r="K1" s="46"/>
      <c r="L1" s="46"/>
      <c r="M1" s="46"/>
      <c r="N1" s="46"/>
      <c r="O1" s="46"/>
      <c r="P1" s="46"/>
      <c r="Q1" s="46"/>
      <c r="R1" s="62"/>
      <c r="S1" s="413"/>
    </row>
    <row r="2" spans="1:21" s="41" customFormat="1">
      <c r="A2" s="362" t="s">
        <v>5</v>
      </c>
      <c r="B2" s="363" t="s">
        <v>1215</v>
      </c>
      <c r="C2" s="363"/>
      <c r="D2" s="345"/>
      <c r="E2" s="345"/>
      <c r="F2" s="345"/>
      <c r="G2" s="345"/>
      <c r="H2" s="345"/>
      <c r="I2" s="345"/>
      <c r="J2" s="345"/>
      <c r="K2" s="345"/>
      <c r="L2" s="345"/>
      <c r="M2" s="345"/>
      <c r="N2" s="345"/>
      <c r="O2" s="345"/>
      <c r="P2" s="345"/>
      <c r="Q2" s="345"/>
      <c r="R2" s="428"/>
      <c r="S2" s="429"/>
    </row>
    <row r="3" spans="1:21">
      <c r="A3" s="338" t="s">
        <v>7</v>
      </c>
      <c r="B3" s="46" t="s">
        <v>779</v>
      </c>
      <c r="C3" s="46"/>
      <c r="D3" s="337"/>
      <c r="E3" s="46"/>
      <c r="F3" s="46"/>
      <c r="G3" s="46"/>
      <c r="H3" s="46"/>
      <c r="I3" s="46"/>
      <c r="J3" s="46"/>
      <c r="K3" s="46"/>
      <c r="L3" s="46"/>
      <c r="M3" s="46"/>
      <c r="N3" s="46"/>
      <c r="O3" s="46"/>
      <c r="P3" s="46"/>
      <c r="Q3" s="46"/>
      <c r="R3" s="62"/>
      <c r="S3" s="413"/>
    </row>
    <row r="4" spans="1:21">
      <c r="A4" s="416" t="s">
        <v>9</v>
      </c>
      <c r="B4" s="46" t="s">
        <v>1239</v>
      </c>
      <c r="C4" s="46"/>
      <c r="D4" s="337"/>
      <c r="E4" s="46"/>
      <c r="F4" s="46"/>
      <c r="G4" s="46"/>
      <c r="H4" s="46"/>
      <c r="I4" s="46"/>
      <c r="J4" s="46"/>
      <c r="K4" s="46"/>
      <c r="L4" s="46"/>
      <c r="M4" s="46"/>
      <c r="N4" s="46"/>
      <c r="O4" s="46"/>
      <c r="P4" s="46"/>
      <c r="Q4" s="46"/>
      <c r="R4" s="46"/>
      <c r="S4" s="46"/>
    </row>
    <row r="5" spans="1:21" ht="15.75" customHeight="1">
      <c r="A5" s="338" t="s">
        <v>11</v>
      </c>
      <c r="B5" s="339" t="s">
        <v>789</v>
      </c>
      <c r="C5" s="339"/>
      <c r="D5" s="46"/>
      <c r="E5" s="46"/>
      <c r="F5" s="46"/>
      <c r="G5" s="46"/>
      <c r="H5" s="46"/>
      <c r="I5" s="46"/>
      <c r="J5" s="46"/>
      <c r="K5" s="46"/>
      <c r="L5" s="46"/>
      <c r="M5" s="46"/>
      <c r="N5" s="46"/>
      <c r="O5" s="46"/>
      <c r="P5" s="46"/>
      <c r="Q5" s="46"/>
      <c r="R5" s="46"/>
      <c r="S5" s="46"/>
    </row>
    <row r="6" spans="1:21">
      <c r="A6" s="338" t="s">
        <v>13</v>
      </c>
      <c r="B6" s="46" t="s">
        <v>14</v>
      </c>
      <c r="C6" s="46"/>
      <c r="D6" s="46"/>
      <c r="E6" s="46"/>
      <c r="F6" s="46"/>
      <c r="G6" s="46"/>
      <c r="H6" s="46"/>
      <c r="I6" s="46"/>
      <c r="J6" s="46"/>
      <c r="K6" s="46"/>
      <c r="L6" s="46"/>
      <c r="M6" s="46"/>
      <c r="N6" s="46"/>
      <c r="O6" s="46"/>
      <c r="P6" s="46"/>
      <c r="Q6" s="46"/>
      <c r="R6" s="46"/>
      <c r="S6" s="46"/>
    </row>
    <row r="7" spans="1:21">
      <c r="A7" s="338" t="s">
        <v>15</v>
      </c>
      <c r="B7" s="350">
        <f>B12</f>
        <v>10.8</v>
      </c>
      <c r="C7" s="350"/>
      <c r="D7" s="46"/>
      <c r="E7" s="46"/>
      <c r="F7" s="46"/>
      <c r="G7" s="46"/>
      <c r="H7" s="46"/>
      <c r="I7" s="46"/>
      <c r="J7" s="46"/>
      <c r="K7" s="46"/>
      <c r="L7" s="46"/>
      <c r="M7" s="46"/>
      <c r="N7" s="46"/>
      <c r="O7" s="46"/>
      <c r="P7" s="46"/>
      <c r="Q7" s="46"/>
      <c r="R7" s="46"/>
      <c r="S7" s="46"/>
    </row>
    <row r="8" spans="1:21">
      <c r="A8" s="338" t="s">
        <v>16</v>
      </c>
      <c r="B8" s="46" t="s">
        <v>17</v>
      </c>
      <c r="C8" s="46"/>
      <c r="D8" s="46"/>
      <c r="E8" s="46"/>
      <c r="F8" s="46"/>
      <c r="G8" s="46"/>
      <c r="H8" s="46"/>
      <c r="I8" s="46"/>
      <c r="J8" s="46"/>
      <c r="K8" s="46"/>
      <c r="L8" s="46"/>
      <c r="M8" s="46"/>
      <c r="N8" s="46"/>
      <c r="O8" s="46"/>
      <c r="P8" s="46"/>
      <c r="Q8" s="46"/>
      <c r="R8" s="46"/>
      <c r="S8" s="46"/>
    </row>
    <row r="9" spans="1:21">
      <c r="A9" s="338" t="s">
        <v>18</v>
      </c>
      <c r="B9" s="46" t="str">
        <f>D16</f>
        <v>kilogram</v>
      </c>
      <c r="C9" s="46"/>
      <c r="D9" s="46"/>
      <c r="E9" s="46"/>
      <c r="F9" s="46"/>
      <c r="G9" s="46"/>
      <c r="H9" s="46"/>
      <c r="I9" s="46"/>
      <c r="J9" s="46"/>
      <c r="K9" s="46"/>
      <c r="L9" s="46"/>
      <c r="M9" s="46"/>
      <c r="N9" s="46"/>
      <c r="O9" s="46"/>
      <c r="P9" s="46"/>
      <c r="Q9" s="46"/>
      <c r="R9" s="46"/>
      <c r="S9" s="46"/>
    </row>
    <row r="10" spans="1:21">
      <c r="A10" s="335" t="s">
        <v>19</v>
      </c>
      <c r="B10" s="46"/>
      <c r="C10" s="46"/>
      <c r="D10" s="46"/>
      <c r="E10" s="46"/>
      <c r="F10" s="46"/>
      <c r="G10" s="46"/>
      <c r="H10" s="46"/>
      <c r="I10" s="46"/>
      <c r="J10" s="46"/>
      <c r="K10" s="46"/>
      <c r="L10" s="46"/>
      <c r="M10" s="46"/>
      <c r="N10" s="46"/>
      <c r="O10" s="46"/>
      <c r="P10" s="46"/>
      <c r="Q10" s="46"/>
      <c r="R10" s="46"/>
      <c r="S10" s="46"/>
    </row>
    <row r="11" spans="1:21">
      <c r="A11" s="336" t="s">
        <v>20</v>
      </c>
      <c r="B11" s="336" t="s">
        <v>21</v>
      </c>
      <c r="C11" s="374" t="s">
        <v>198</v>
      </c>
      <c r="D11" s="336" t="s">
        <v>18</v>
      </c>
      <c r="E11" s="336" t="s">
        <v>22</v>
      </c>
      <c r="F11" s="336" t="s">
        <v>7</v>
      </c>
      <c r="G11" s="336" t="s">
        <v>13</v>
      </c>
      <c r="H11" s="336" t="s">
        <v>16</v>
      </c>
      <c r="I11" s="336" t="s">
        <v>23</v>
      </c>
      <c r="J11" s="336" t="s">
        <v>24</v>
      </c>
      <c r="K11" s="336" t="s">
        <v>25</v>
      </c>
      <c r="L11" s="336" t="s">
        <v>26</v>
      </c>
      <c r="M11" s="336" t="s">
        <v>27</v>
      </c>
      <c r="N11" s="336" t="s">
        <v>28</v>
      </c>
      <c r="O11" s="336" t="s">
        <v>11</v>
      </c>
      <c r="P11" s="46"/>
      <c r="Q11" s="46"/>
      <c r="R11" s="46"/>
      <c r="S11" s="46"/>
      <c r="U11" s="116"/>
    </row>
    <row r="12" spans="1:21">
      <c r="A12" s="46" t="s">
        <v>1215</v>
      </c>
      <c r="B12" s="350">
        <f>B43</f>
        <v>10.8</v>
      </c>
      <c r="C12" s="46"/>
      <c r="D12" s="46" t="s">
        <v>37</v>
      </c>
      <c r="E12" s="400" t="s">
        <v>2</v>
      </c>
      <c r="F12" s="46" t="s">
        <v>29</v>
      </c>
      <c r="G12" s="46" t="s">
        <v>14</v>
      </c>
      <c r="H12" s="46" t="s">
        <v>30</v>
      </c>
      <c r="I12" s="46">
        <v>1</v>
      </c>
      <c r="J12" s="46">
        <f>B12</f>
        <v>10.8</v>
      </c>
      <c r="K12" s="46" t="s">
        <v>31</v>
      </c>
      <c r="L12" s="46" t="s">
        <v>31</v>
      </c>
      <c r="M12" s="46" t="s">
        <v>31</v>
      </c>
      <c r="N12" s="46" t="s">
        <v>31</v>
      </c>
      <c r="O12" s="46"/>
      <c r="P12" s="62"/>
      <c r="Q12" s="413"/>
      <c r="R12" s="46"/>
      <c r="S12" s="46"/>
    </row>
    <row r="13" spans="1:21">
      <c r="A13" s="46" t="s">
        <v>1240</v>
      </c>
      <c r="B13" s="46">
        <v>1</v>
      </c>
      <c r="C13" s="46"/>
      <c r="D13" s="46" t="s">
        <v>18</v>
      </c>
      <c r="E13" s="400" t="s">
        <v>2</v>
      </c>
      <c r="F13" s="46" t="s">
        <v>29</v>
      </c>
      <c r="G13" s="46" t="s">
        <v>14</v>
      </c>
      <c r="H13" s="46" t="s">
        <v>33</v>
      </c>
      <c r="I13" s="46">
        <v>1</v>
      </c>
      <c r="J13" s="46">
        <v>1</v>
      </c>
      <c r="K13" s="46" t="s">
        <v>31</v>
      </c>
      <c r="L13" s="46" t="s">
        <v>31</v>
      </c>
      <c r="M13" s="46" t="s">
        <v>31</v>
      </c>
      <c r="N13" s="46" t="s">
        <v>31</v>
      </c>
      <c r="O13" s="46"/>
      <c r="P13" s="46"/>
      <c r="Q13" s="46"/>
      <c r="R13" s="46"/>
      <c r="S13" s="46"/>
    </row>
    <row r="14" spans="1:21">
      <c r="A14" s="338" t="s">
        <v>75</v>
      </c>
      <c r="B14" s="342">
        <f>Q14</f>
        <v>0.25</v>
      </c>
      <c r="C14" s="342"/>
      <c r="D14" s="46" t="s">
        <v>39</v>
      </c>
      <c r="E14" s="46" t="s">
        <v>40</v>
      </c>
      <c r="F14" s="46" t="s">
        <v>29</v>
      </c>
      <c r="G14" s="32" t="s">
        <v>35</v>
      </c>
      <c r="H14" s="46" t="s">
        <v>33</v>
      </c>
      <c r="I14" s="46">
        <v>2</v>
      </c>
      <c r="J14" s="46">
        <f t="shared" ref="J14:J18" si="0">LN(B14)</f>
        <v>-1.3862943611198906</v>
      </c>
      <c r="K14" s="456">
        <v>9.6046863561492793E-2</v>
      </c>
      <c r="L14" s="46" t="s">
        <v>31</v>
      </c>
      <c r="M14" s="46" t="s">
        <v>31</v>
      </c>
      <c r="N14" s="46" t="s">
        <v>31</v>
      </c>
      <c r="O14" s="46"/>
      <c r="P14" s="393" t="s">
        <v>216</v>
      </c>
      <c r="Q14" s="406">
        <v>0.25</v>
      </c>
      <c r="R14" s="46"/>
      <c r="S14" s="46"/>
    </row>
    <row r="15" spans="1:21">
      <c r="A15" s="338" t="s">
        <v>75</v>
      </c>
      <c r="B15" s="342">
        <f>Q15</f>
        <v>0.5</v>
      </c>
      <c r="C15" s="342"/>
      <c r="D15" s="46" t="s">
        <v>39</v>
      </c>
      <c r="E15" s="46" t="s">
        <v>40</v>
      </c>
      <c r="F15" s="46" t="s">
        <v>29</v>
      </c>
      <c r="G15" s="32" t="s">
        <v>58</v>
      </c>
      <c r="H15" s="46" t="s">
        <v>33</v>
      </c>
      <c r="I15" s="46">
        <v>2</v>
      </c>
      <c r="J15" s="46">
        <f t="shared" si="0"/>
        <v>-0.69314718055994529</v>
      </c>
      <c r="K15" s="456">
        <v>9.6046863561492793E-2</v>
      </c>
      <c r="L15" s="46" t="s">
        <v>31</v>
      </c>
      <c r="M15" s="46" t="s">
        <v>31</v>
      </c>
      <c r="N15" s="46" t="s">
        <v>31</v>
      </c>
      <c r="O15" s="46"/>
      <c r="P15" s="393" t="s">
        <v>216</v>
      </c>
      <c r="Q15" s="406">
        <v>0.5</v>
      </c>
      <c r="R15" s="46"/>
      <c r="S15" s="46"/>
    </row>
    <row r="16" spans="1:21">
      <c r="A16" s="47" t="s">
        <v>896</v>
      </c>
      <c r="B16" s="46">
        <f>S16</f>
        <v>6.5000000000000002E-2</v>
      </c>
      <c r="C16" s="46"/>
      <c r="D16" s="46" t="s">
        <v>37</v>
      </c>
      <c r="E16" s="46" t="s">
        <v>40</v>
      </c>
      <c r="F16" s="46" t="s">
        <v>29</v>
      </c>
      <c r="G16" s="46" t="s">
        <v>35</v>
      </c>
      <c r="H16" s="46" t="s">
        <v>33</v>
      </c>
      <c r="I16" s="46">
        <v>2</v>
      </c>
      <c r="J16" s="46">
        <f t="shared" si="0"/>
        <v>-2.7333680090865</v>
      </c>
      <c r="K16" s="456">
        <v>9.6046863561492793E-2</v>
      </c>
      <c r="L16" s="46" t="s">
        <v>31</v>
      </c>
      <c r="M16" s="46" t="s">
        <v>31</v>
      </c>
      <c r="N16" s="46" t="s">
        <v>31</v>
      </c>
      <c r="O16" s="46"/>
      <c r="P16" s="393" t="s">
        <v>575</v>
      </c>
      <c r="Q16" s="406">
        <v>65</v>
      </c>
      <c r="R16" s="393" t="s">
        <v>221</v>
      </c>
      <c r="S16" s="406">
        <f>0.001*Q16</f>
        <v>6.5000000000000002E-2</v>
      </c>
    </row>
    <row r="17" spans="1:21">
      <c r="A17" s="47" t="s">
        <v>897</v>
      </c>
      <c r="B17" s="46">
        <f>Q17</f>
        <v>1.2</v>
      </c>
      <c r="C17" s="46"/>
      <c r="D17" s="46" t="s">
        <v>37</v>
      </c>
      <c r="E17" s="46" t="s">
        <v>40</v>
      </c>
      <c r="F17" s="46" t="s">
        <v>29</v>
      </c>
      <c r="G17" s="32" t="s">
        <v>741</v>
      </c>
      <c r="H17" s="46" t="s">
        <v>33</v>
      </c>
      <c r="I17" s="46">
        <v>2</v>
      </c>
      <c r="J17" s="46">
        <f t="shared" si="0"/>
        <v>0.18232155679395459</v>
      </c>
      <c r="K17" s="456">
        <v>9.6046863561492793E-2</v>
      </c>
      <c r="L17" s="46" t="s">
        <v>31</v>
      </c>
      <c r="M17" s="46" t="s">
        <v>31</v>
      </c>
      <c r="N17" s="46" t="s">
        <v>31</v>
      </c>
      <c r="O17" s="46"/>
      <c r="P17" s="393" t="s">
        <v>221</v>
      </c>
      <c r="Q17" s="406">
        <v>1.2</v>
      </c>
      <c r="R17" s="46"/>
      <c r="S17" s="46"/>
    </row>
    <row r="18" spans="1:21">
      <c r="A18" s="47" t="s">
        <v>740</v>
      </c>
      <c r="B18" s="46">
        <f>S18</f>
        <v>6.5000000000000002E-2</v>
      </c>
      <c r="C18" s="46"/>
      <c r="D18" s="46" t="s">
        <v>37</v>
      </c>
      <c r="E18" s="46" t="s">
        <v>40</v>
      </c>
      <c r="F18" s="46" t="s">
        <v>29</v>
      </c>
      <c r="G18" s="32" t="s">
        <v>741</v>
      </c>
      <c r="H18" s="46" t="s">
        <v>33</v>
      </c>
      <c r="I18" s="46">
        <v>2</v>
      </c>
      <c r="J18" s="46">
        <f t="shared" si="0"/>
        <v>-2.7333680090865</v>
      </c>
      <c r="K18" s="456">
        <v>9.6046863561492793E-2</v>
      </c>
      <c r="L18" s="46" t="s">
        <v>31</v>
      </c>
      <c r="M18" s="46" t="s">
        <v>31</v>
      </c>
      <c r="N18" s="46" t="s">
        <v>31</v>
      </c>
      <c r="O18" s="46"/>
      <c r="P18" s="393" t="s">
        <v>575</v>
      </c>
      <c r="Q18" s="155">
        <v>65</v>
      </c>
      <c r="R18" s="393" t="s">
        <v>221</v>
      </c>
      <c r="S18" s="406">
        <f>0.001*Q18</f>
        <v>6.5000000000000002E-2</v>
      </c>
    </row>
    <row r="19" spans="1:21" s="41" customFormat="1">
      <c r="A19" s="362" t="s">
        <v>5</v>
      </c>
      <c r="B19" s="363" t="str">
        <f>A29</f>
        <v>production of machined casing, mass scaled activities, bidirectional battery DCDC converter, PEMFC-bat, Medium-Term</v>
      </c>
      <c r="C19" s="363"/>
      <c r="D19" s="345"/>
      <c r="E19" s="345"/>
      <c r="F19" s="345"/>
      <c r="G19" s="345"/>
      <c r="H19" s="345"/>
      <c r="I19" s="345"/>
      <c r="J19" s="345"/>
      <c r="K19" s="345"/>
      <c r="L19" s="345"/>
      <c r="M19" s="345"/>
      <c r="N19" s="345"/>
      <c r="O19" s="345"/>
      <c r="P19" s="345"/>
      <c r="Q19" s="345"/>
      <c r="R19" s="345"/>
      <c r="S19" s="345"/>
    </row>
    <row r="20" spans="1:21">
      <c r="A20" s="338" t="s">
        <v>7</v>
      </c>
      <c r="B20" s="46" t="s">
        <v>779</v>
      </c>
      <c r="C20" s="46"/>
      <c r="D20" s="337"/>
      <c r="E20" s="46"/>
      <c r="F20" s="46"/>
      <c r="G20" s="46"/>
      <c r="H20" s="46"/>
      <c r="I20" s="46"/>
      <c r="J20" s="46"/>
      <c r="K20" s="46"/>
      <c r="L20" s="46"/>
      <c r="M20" s="46"/>
      <c r="N20" s="46"/>
      <c r="O20" s="46"/>
      <c r="P20" s="46"/>
      <c r="Q20" s="46"/>
      <c r="R20" s="46"/>
      <c r="S20" s="46"/>
    </row>
    <row r="21" spans="1:21">
      <c r="A21" s="416" t="s">
        <v>9</v>
      </c>
      <c r="B21" s="46" t="s">
        <v>1241</v>
      </c>
      <c r="C21" s="46"/>
      <c r="D21" s="337"/>
      <c r="E21" s="46"/>
      <c r="F21" s="46"/>
      <c r="G21" s="46"/>
      <c r="H21" s="46"/>
      <c r="I21" s="46"/>
      <c r="J21" s="46"/>
      <c r="K21" s="46"/>
      <c r="L21" s="46"/>
      <c r="M21" s="46"/>
      <c r="N21" s="46"/>
      <c r="O21" s="46"/>
      <c r="P21" s="46"/>
      <c r="Q21" s="46"/>
      <c r="R21" s="46"/>
      <c r="S21" s="46"/>
    </row>
    <row r="22" spans="1:21" ht="15.75" customHeight="1">
      <c r="A22" s="338" t="s">
        <v>11</v>
      </c>
      <c r="B22" s="339" t="s">
        <v>789</v>
      </c>
      <c r="C22" s="339"/>
      <c r="D22" s="46"/>
      <c r="E22" s="46"/>
      <c r="F22" s="46"/>
      <c r="G22" s="46"/>
      <c r="H22" s="46"/>
      <c r="I22" s="46"/>
      <c r="J22" s="46"/>
      <c r="K22" s="46"/>
      <c r="L22" s="46"/>
      <c r="M22" s="46"/>
      <c r="N22" s="46"/>
      <c r="O22" s="46"/>
      <c r="P22" s="46"/>
      <c r="Q22" s="46"/>
      <c r="R22" s="46"/>
      <c r="S22" s="46"/>
    </row>
    <row r="23" spans="1:21">
      <c r="A23" s="338" t="s">
        <v>13</v>
      </c>
      <c r="B23" s="46" t="s">
        <v>14</v>
      </c>
      <c r="C23" s="46"/>
      <c r="D23" s="46"/>
      <c r="E23" s="46"/>
      <c r="F23" s="46"/>
      <c r="G23" s="46"/>
      <c r="H23" s="46"/>
      <c r="I23" s="46"/>
      <c r="J23" s="46"/>
      <c r="K23" s="46"/>
      <c r="L23" s="46"/>
      <c r="M23" s="46"/>
      <c r="N23" s="46"/>
      <c r="O23" s="46"/>
      <c r="P23" s="46"/>
      <c r="Q23" s="46"/>
      <c r="R23" s="46"/>
      <c r="S23" s="46"/>
    </row>
    <row r="24" spans="1:21">
      <c r="A24" s="338" t="s">
        <v>15</v>
      </c>
      <c r="B24" s="350">
        <v>1</v>
      </c>
      <c r="C24" s="350"/>
      <c r="D24" s="46"/>
      <c r="E24" s="46"/>
      <c r="F24" s="46"/>
      <c r="G24" s="46"/>
      <c r="H24" s="46"/>
      <c r="I24" s="46"/>
      <c r="J24" s="46"/>
      <c r="K24" s="46"/>
      <c r="L24" s="46"/>
      <c r="M24" s="46"/>
      <c r="N24" s="46"/>
      <c r="O24" s="46"/>
      <c r="P24" s="46"/>
      <c r="Q24" s="46"/>
      <c r="R24" s="46"/>
      <c r="S24" s="46"/>
    </row>
    <row r="25" spans="1:21">
      <c r="A25" s="338" t="s">
        <v>16</v>
      </c>
      <c r="B25" s="46" t="s">
        <v>17</v>
      </c>
      <c r="C25" s="46"/>
      <c r="D25" s="46"/>
      <c r="E25" s="46"/>
      <c r="F25" s="46"/>
      <c r="G25" s="46"/>
      <c r="H25" s="46"/>
      <c r="I25" s="46"/>
      <c r="J25" s="46"/>
      <c r="K25" s="46"/>
      <c r="L25" s="46"/>
      <c r="M25" s="46"/>
      <c r="N25" s="46"/>
      <c r="O25" s="46"/>
      <c r="P25" s="46"/>
      <c r="Q25" s="46"/>
      <c r="R25" s="46"/>
      <c r="S25" s="46"/>
    </row>
    <row r="26" spans="1:21">
      <c r="A26" s="338" t="s">
        <v>18</v>
      </c>
      <c r="B26" s="46" t="s">
        <v>18</v>
      </c>
      <c r="C26" s="46"/>
      <c r="D26" s="46"/>
      <c r="E26" s="46"/>
      <c r="F26" s="46"/>
      <c r="G26" s="46"/>
      <c r="H26" s="46"/>
      <c r="I26" s="46"/>
      <c r="J26" s="46"/>
      <c r="K26" s="46"/>
      <c r="L26" s="46"/>
      <c r="M26" s="46"/>
      <c r="N26" s="46"/>
      <c r="O26" s="46"/>
      <c r="P26" s="46"/>
      <c r="Q26" s="46"/>
      <c r="R26" s="46"/>
      <c r="S26" s="46"/>
    </row>
    <row r="27" spans="1:21">
      <c r="A27" s="335" t="s">
        <v>19</v>
      </c>
      <c r="B27" s="46"/>
      <c r="C27" s="46"/>
      <c r="D27" s="46"/>
      <c r="E27" s="46"/>
      <c r="F27" s="46"/>
      <c r="G27" s="46"/>
      <c r="H27" s="46"/>
      <c r="I27" s="46"/>
      <c r="J27" s="46"/>
      <c r="K27" s="46"/>
      <c r="L27" s="46"/>
      <c r="M27" s="46"/>
      <c r="N27" s="46"/>
      <c r="O27" s="46"/>
      <c r="P27" s="46"/>
      <c r="Q27" s="46"/>
      <c r="R27" s="46"/>
      <c r="S27" s="46"/>
    </row>
    <row r="28" spans="1:21">
      <c r="A28" s="336" t="s">
        <v>20</v>
      </c>
      <c r="B28" s="336" t="s">
        <v>21</v>
      </c>
      <c r="C28" s="374" t="s">
        <v>198</v>
      </c>
      <c r="D28" s="336" t="s">
        <v>18</v>
      </c>
      <c r="E28" s="336" t="s">
        <v>22</v>
      </c>
      <c r="F28" s="336" t="s">
        <v>7</v>
      </c>
      <c r="G28" s="336" t="s">
        <v>13</v>
      </c>
      <c r="H28" s="336" t="s">
        <v>16</v>
      </c>
      <c r="I28" s="336" t="s">
        <v>23</v>
      </c>
      <c r="J28" s="336" t="s">
        <v>24</v>
      </c>
      <c r="K28" s="336" t="s">
        <v>25</v>
      </c>
      <c r="L28" s="336" t="s">
        <v>26</v>
      </c>
      <c r="M28" s="336" t="s">
        <v>27</v>
      </c>
      <c r="N28" s="336" t="s">
        <v>28</v>
      </c>
      <c r="O28" s="336" t="s">
        <v>11</v>
      </c>
      <c r="P28" s="46"/>
      <c r="Q28" s="46"/>
      <c r="R28" s="46"/>
      <c r="S28" s="46"/>
      <c r="U28" s="116"/>
    </row>
    <row r="29" spans="1:21">
      <c r="A29" s="46" t="s">
        <v>1240</v>
      </c>
      <c r="B29" s="46">
        <v>1</v>
      </c>
      <c r="C29" s="46"/>
      <c r="D29" s="46" t="s">
        <v>18</v>
      </c>
      <c r="E29" s="400" t="s">
        <v>2</v>
      </c>
      <c r="F29" s="46" t="s">
        <v>29</v>
      </c>
      <c r="G29" s="46" t="s">
        <v>14</v>
      </c>
      <c r="H29" s="46" t="s">
        <v>30</v>
      </c>
      <c r="I29" s="46">
        <v>1</v>
      </c>
      <c r="J29" s="46">
        <v>1</v>
      </c>
      <c r="K29" s="46" t="s">
        <v>31</v>
      </c>
      <c r="L29" s="46" t="s">
        <v>31</v>
      </c>
      <c r="M29" s="46" t="s">
        <v>31</v>
      </c>
      <c r="N29" s="46" t="s">
        <v>31</v>
      </c>
      <c r="O29" s="46"/>
      <c r="P29" s="46"/>
      <c r="Q29" s="46"/>
      <c r="R29" s="46"/>
      <c r="S29" s="46"/>
    </row>
    <row r="30" spans="1:21">
      <c r="A30" s="46" t="s">
        <v>1242</v>
      </c>
      <c r="B30" s="46">
        <f>Q30</f>
        <v>10.3</v>
      </c>
      <c r="C30" s="46"/>
      <c r="D30" s="46" t="s">
        <v>37</v>
      </c>
      <c r="E30" s="400" t="s">
        <v>2</v>
      </c>
      <c r="F30" s="46" t="s">
        <v>29</v>
      </c>
      <c r="G30" s="46" t="s">
        <v>14</v>
      </c>
      <c r="H30" s="46" t="s">
        <v>33</v>
      </c>
      <c r="I30" s="46">
        <v>2</v>
      </c>
      <c r="J30" s="46">
        <f>LN(B30)</f>
        <v>2.33214389523559</v>
      </c>
      <c r="K30" s="46">
        <v>0.10307764064044142</v>
      </c>
      <c r="L30" s="46" t="s">
        <v>31</v>
      </c>
      <c r="M30" s="46" t="s">
        <v>31</v>
      </c>
      <c r="N30" s="46" t="s">
        <v>31</v>
      </c>
      <c r="O30" s="46"/>
      <c r="P30" s="46"/>
      <c r="Q30" s="454">
        <v>10.3</v>
      </c>
      <c r="R30" s="46"/>
      <c r="S30" s="46"/>
    </row>
    <row r="31" spans="1:21">
      <c r="A31" s="338" t="s">
        <v>75</v>
      </c>
      <c r="B31" s="342">
        <f>Q31</f>
        <v>0.62</v>
      </c>
      <c r="C31" s="342"/>
      <c r="D31" s="46" t="s">
        <v>39</v>
      </c>
      <c r="E31" s="46" t="s">
        <v>40</v>
      </c>
      <c r="F31" s="46" t="s">
        <v>29</v>
      </c>
      <c r="G31" s="32" t="s">
        <v>58</v>
      </c>
      <c r="H31" s="46" t="s">
        <v>33</v>
      </c>
      <c r="I31" s="46">
        <v>2</v>
      </c>
      <c r="J31" s="46">
        <f t="shared" ref="J31:J37" si="1">LN(B31)</f>
        <v>-0.4780358009429998</v>
      </c>
      <c r="K31" s="46">
        <v>9.6046863561492793E-2</v>
      </c>
      <c r="L31" s="46" t="s">
        <v>31</v>
      </c>
      <c r="M31" s="46" t="s">
        <v>31</v>
      </c>
      <c r="N31" s="46" t="s">
        <v>31</v>
      </c>
      <c r="O31" s="46"/>
      <c r="P31" s="393" t="s">
        <v>216</v>
      </c>
      <c r="Q31" s="120">
        <v>0.62</v>
      </c>
      <c r="R31" s="46"/>
      <c r="S31" s="46"/>
    </row>
    <row r="32" spans="1:21">
      <c r="A32" s="47" t="s">
        <v>896</v>
      </c>
      <c r="B32" s="46">
        <f>S32</f>
        <v>0.14400000000000002</v>
      </c>
      <c r="C32" s="46"/>
      <c r="D32" s="46" t="s">
        <v>37</v>
      </c>
      <c r="E32" s="46" t="s">
        <v>40</v>
      </c>
      <c r="F32" s="46" t="s">
        <v>29</v>
      </c>
      <c r="G32" s="46" t="s">
        <v>35</v>
      </c>
      <c r="H32" s="46" t="s">
        <v>33</v>
      </c>
      <c r="I32" s="46">
        <v>2</v>
      </c>
      <c r="J32" s="46">
        <f t="shared" si="1"/>
        <v>-1.9379419794061363</v>
      </c>
      <c r="K32" s="46">
        <v>9.6046863561492793E-2</v>
      </c>
      <c r="L32" s="46" t="s">
        <v>31</v>
      </c>
      <c r="M32" s="46" t="s">
        <v>31</v>
      </c>
      <c r="N32" s="46" t="s">
        <v>31</v>
      </c>
      <c r="O32" s="46"/>
      <c r="P32" s="393" t="s">
        <v>575</v>
      </c>
      <c r="Q32" s="120">
        <v>144</v>
      </c>
      <c r="R32" s="393" t="s">
        <v>221</v>
      </c>
      <c r="S32" s="406">
        <f>0.001*Q32</f>
        <v>0.14400000000000002</v>
      </c>
    </row>
    <row r="33" spans="1:21">
      <c r="A33" s="47" t="s">
        <v>897</v>
      </c>
      <c r="B33" s="46">
        <f>Q33</f>
        <v>2.7</v>
      </c>
      <c r="C33" s="46"/>
      <c r="D33" s="46" t="s">
        <v>37</v>
      </c>
      <c r="E33" s="46" t="s">
        <v>40</v>
      </c>
      <c r="F33" s="46" t="s">
        <v>29</v>
      </c>
      <c r="G33" s="32" t="s">
        <v>741</v>
      </c>
      <c r="H33" s="46" t="s">
        <v>33</v>
      </c>
      <c r="I33" s="46">
        <v>2</v>
      </c>
      <c r="J33" s="46">
        <f t="shared" si="1"/>
        <v>0.99325177301028345</v>
      </c>
      <c r="K33" s="46">
        <v>9.6046863561492793E-2</v>
      </c>
      <c r="L33" s="46" t="s">
        <v>31</v>
      </c>
      <c r="M33" s="46" t="s">
        <v>31</v>
      </c>
      <c r="N33" s="46" t="s">
        <v>31</v>
      </c>
      <c r="O33" s="46"/>
      <c r="P33" s="393" t="s">
        <v>221</v>
      </c>
      <c r="Q33" s="120">
        <v>2.7</v>
      </c>
      <c r="R33" s="46"/>
      <c r="S33" s="46"/>
    </row>
    <row r="34" spans="1:21">
      <c r="A34" s="430" t="s">
        <v>247</v>
      </c>
      <c r="B34" s="46">
        <f>S35</f>
        <v>0.54600000000000004</v>
      </c>
      <c r="C34" s="62" t="s">
        <v>248</v>
      </c>
      <c r="D34" s="46" t="s">
        <v>37</v>
      </c>
      <c r="E34" s="46" t="s">
        <v>40</v>
      </c>
      <c r="F34" s="46" t="s">
        <v>29</v>
      </c>
      <c r="G34" s="32" t="s">
        <v>35</v>
      </c>
      <c r="H34" s="46" t="s">
        <v>33</v>
      </c>
      <c r="I34" s="46">
        <v>2</v>
      </c>
      <c r="J34" s="46">
        <f t="shared" si="1"/>
        <v>-0.60513630323723189</v>
      </c>
      <c r="K34" s="46">
        <v>9.6046863561492793E-2</v>
      </c>
      <c r="L34" s="46" t="s">
        <v>31</v>
      </c>
      <c r="M34" s="46" t="s">
        <v>31</v>
      </c>
      <c r="N34" s="46" t="s">
        <v>31</v>
      </c>
      <c r="O34" s="46"/>
      <c r="P34" s="393"/>
      <c r="Q34" s="406"/>
      <c r="R34" s="46"/>
      <c r="S34" s="46"/>
    </row>
    <row r="35" spans="1:21">
      <c r="A35" s="62" t="s">
        <v>245</v>
      </c>
      <c r="B35" s="46">
        <f>S35</f>
        <v>0.54600000000000004</v>
      </c>
      <c r="C35" s="46"/>
      <c r="D35" s="46" t="s">
        <v>37</v>
      </c>
      <c r="E35" s="46" t="s">
        <v>40</v>
      </c>
      <c r="F35" s="46" t="s">
        <v>29</v>
      </c>
      <c r="G35" s="46" t="s">
        <v>35</v>
      </c>
      <c r="H35" s="46" t="s">
        <v>33</v>
      </c>
      <c r="I35" s="46">
        <v>2</v>
      </c>
      <c r="J35" s="46">
        <f t="shared" si="1"/>
        <v>-0.60513630323723189</v>
      </c>
      <c r="K35" s="46">
        <v>9.6046863561492793E-2</v>
      </c>
      <c r="L35" s="46" t="s">
        <v>31</v>
      </c>
      <c r="M35" s="46" t="s">
        <v>31</v>
      </c>
      <c r="N35" s="46" t="s">
        <v>31</v>
      </c>
      <c r="O35" s="46"/>
      <c r="P35" s="410" t="s">
        <v>575</v>
      </c>
      <c r="Q35" s="411">
        <v>546</v>
      </c>
      <c r="R35" s="393" t="s">
        <v>221</v>
      </c>
      <c r="S35" s="406">
        <f>0.001*Q35</f>
        <v>0.54600000000000004</v>
      </c>
    </row>
    <row r="36" spans="1:21">
      <c r="A36" s="47" t="s">
        <v>900</v>
      </c>
      <c r="B36" s="46">
        <f>S35</f>
        <v>0.54600000000000004</v>
      </c>
      <c r="C36" s="46"/>
      <c r="D36" s="46" t="s">
        <v>37</v>
      </c>
      <c r="E36" s="46" t="s">
        <v>40</v>
      </c>
      <c r="F36" s="46" t="s">
        <v>29</v>
      </c>
      <c r="G36" s="46" t="s">
        <v>58</v>
      </c>
      <c r="H36" s="46" t="s">
        <v>243</v>
      </c>
      <c r="I36" s="46">
        <v>2</v>
      </c>
      <c r="J36" s="46">
        <f t="shared" si="1"/>
        <v>-0.60513630323723189</v>
      </c>
      <c r="K36" s="46">
        <v>9.6046863561492793E-2</v>
      </c>
      <c r="L36" s="46" t="s">
        <v>31</v>
      </c>
      <c r="M36" s="46" t="s">
        <v>31</v>
      </c>
      <c r="N36" s="46" t="s">
        <v>31</v>
      </c>
      <c r="O36" s="46"/>
      <c r="P36" s="410" t="s">
        <v>575</v>
      </c>
      <c r="Q36" s="411">
        <v>546</v>
      </c>
      <c r="R36" s="393" t="s">
        <v>221</v>
      </c>
      <c r="S36" s="406">
        <f>0.001*Q37</f>
        <v>0.14400000000000002</v>
      </c>
    </row>
    <row r="37" spans="1:21">
      <c r="A37" s="47" t="s">
        <v>740</v>
      </c>
      <c r="B37" s="46">
        <f>S37</f>
        <v>0.14400000000000002</v>
      </c>
      <c r="C37" s="46"/>
      <c r="D37" s="46" t="s">
        <v>37</v>
      </c>
      <c r="E37" s="46" t="s">
        <v>40</v>
      </c>
      <c r="F37" s="46" t="s">
        <v>29</v>
      </c>
      <c r="G37" s="32" t="s">
        <v>741</v>
      </c>
      <c r="H37" s="46" t="s">
        <v>33</v>
      </c>
      <c r="I37" s="46">
        <v>2</v>
      </c>
      <c r="J37" s="46">
        <f t="shared" si="1"/>
        <v>-1.9379419794061363</v>
      </c>
      <c r="K37" s="46">
        <v>9.6046863561492793E-2</v>
      </c>
      <c r="L37" s="46" t="s">
        <v>31</v>
      </c>
      <c r="M37" s="46" t="s">
        <v>31</v>
      </c>
      <c r="N37" s="46" t="s">
        <v>31</v>
      </c>
      <c r="O37" s="46"/>
      <c r="P37" s="410" t="s">
        <v>575</v>
      </c>
      <c r="Q37" s="411">
        <v>144</v>
      </c>
      <c r="R37" s="393" t="s">
        <v>221</v>
      </c>
      <c r="S37" s="406">
        <f>Q37*0.001</f>
        <v>0.14400000000000002</v>
      </c>
    </row>
    <row r="38" spans="1:21" s="41" customFormat="1">
      <c r="A38" s="362" t="s">
        <v>5</v>
      </c>
      <c r="B38" s="363" t="s">
        <v>1242</v>
      </c>
      <c r="C38" s="363"/>
      <c r="D38" s="345"/>
      <c r="E38" s="345"/>
      <c r="F38" s="345"/>
      <c r="G38" s="345"/>
      <c r="H38" s="345"/>
      <c r="I38" s="345"/>
      <c r="J38" s="345"/>
      <c r="K38" s="345"/>
      <c r="L38" s="345"/>
      <c r="M38" s="345"/>
      <c r="N38" s="345"/>
      <c r="O38" s="345"/>
      <c r="P38" s="345"/>
      <c r="Q38" s="345"/>
      <c r="R38" s="345"/>
      <c r="S38" s="345"/>
    </row>
    <row r="39" spans="1:21">
      <c r="A39" s="338" t="s">
        <v>7</v>
      </c>
      <c r="B39" s="46" t="s">
        <v>779</v>
      </c>
      <c r="C39" s="46"/>
      <c r="D39" s="337"/>
      <c r="E39" s="46"/>
      <c r="F39" s="46"/>
      <c r="G39" s="46"/>
      <c r="H39" s="46"/>
      <c r="I39" s="46"/>
      <c r="J39" s="46"/>
      <c r="K39" s="46"/>
      <c r="L39" s="46"/>
      <c r="M39" s="46"/>
      <c r="N39" s="46"/>
      <c r="O39" s="46"/>
      <c r="P39" s="46"/>
      <c r="Q39" s="46"/>
      <c r="R39" s="46"/>
      <c r="S39" s="46"/>
    </row>
    <row r="40" spans="1:21">
      <c r="A40" s="416" t="s">
        <v>9</v>
      </c>
      <c r="B40" s="46" t="s">
        <v>1243</v>
      </c>
      <c r="C40" s="46"/>
      <c r="D40" s="337"/>
      <c r="E40" s="46"/>
      <c r="F40" s="46"/>
      <c r="G40" s="46"/>
      <c r="H40" s="46"/>
      <c r="I40" s="46"/>
      <c r="J40" s="46"/>
      <c r="K40" s="46"/>
      <c r="L40" s="46"/>
      <c r="M40" s="46"/>
      <c r="N40" s="46"/>
      <c r="O40" s="46"/>
      <c r="P40" s="46"/>
      <c r="Q40" s="46"/>
      <c r="R40" s="46"/>
      <c r="S40" s="46"/>
    </row>
    <row r="41" spans="1:21" ht="15.75" customHeight="1">
      <c r="A41" s="338" t="s">
        <v>11</v>
      </c>
      <c r="B41" s="339" t="s">
        <v>789</v>
      </c>
      <c r="C41" s="339"/>
      <c r="D41" s="46"/>
      <c r="E41" s="46"/>
      <c r="F41" s="46"/>
      <c r="G41" s="46"/>
      <c r="H41" s="46"/>
      <c r="I41" s="46"/>
      <c r="J41" s="46"/>
      <c r="K41" s="46"/>
      <c r="L41" s="46"/>
      <c r="M41" s="46"/>
      <c r="N41" s="46"/>
      <c r="O41" s="46"/>
      <c r="P41" s="46"/>
      <c r="Q41" s="46"/>
      <c r="R41" s="46"/>
      <c r="S41" s="46"/>
    </row>
    <row r="42" spans="1:21">
      <c r="A42" s="338" t="s">
        <v>13</v>
      </c>
      <c r="B42" s="46" t="s">
        <v>14</v>
      </c>
      <c r="C42" s="46"/>
      <c r="D42" s="46"/>
      <c r="E42" s="46"/>
      <c r="F42" s="46"/>
      <c r="G42" s="46"/>
      <c r="H42" s="46"/>
      <c r="I42" s="46"/>
      <c r="J42" s="46"/>
      <c r="K42" s="46"/>
      <c r="L42" s="46"/>
      <c r="M42" s="46"/>
      <c r="N42" s="46"/>
      <c r="O42" s="46"/>
      <c r="P42" s="46"/>
      <c r="Q42" s="46"/>
      <c r="R42" s="46"/>
      <c r="S42" s="46"/>
    </row>
    <row r="43" spans="1:21">
      <c r="A43" s="338" t="s">
        <v>15</v>
      </c>
      <c r="B43" s="350">
        <f>B48</f>
        <v>10.8</v>
      </c>
      <c r="C43" s="350"/>
      <c r="D43" s="46"/>
      <c r="E43" s="46"/>
      <c r="F43" s="46"/>
      <c r="G43" s="46"/>
      <c r="H43" s="46"/>
      <c r="I43" s="46"/>
      <c r="J43" s="46"/>
      <c r="K43" s="46"/>
      <c r="L43" s="46"/>
      <c r="M43" s="46"/>
      <c r="N43" s="46"/>
      <c r="O43" s="46"/>
      <c r="P43" s="46"/>
      <c r="Q43" s="46"/>
      <c r="R43" s="46"/>
      <c r="S43" s="46"/>
    </row>
    <row r="44" spans="1:21">
      <c r="A44" s="338" t="s">
        <v>16</v>
      </c>
      <c r="B44" s="46" t="s">
        <v>17</v>
      </c>
      <c r="C44" s="46"/>
      <c r="D44" s="46"/>
      <c r="E44" s="46"/>
      <c r="F44" s="46"/>
      <c r="G44" s="46"/>
      <c r="H44" s="46"/>
      <c r="I44" s="46"/>
      <c r="J44" s="46"/>
      <c r="K44" s="46"/>
      <c r="L44" s="46"/>
      <c r="M44" s="46"/>
      <c r="N44" s="46"/>
      <c r="O44" s="46"/>
      <c r="P44" s="46"/>
      <c r="Q44" s="46"/>
      <c r="R44" s="46"/>
      <c r="S44" s="46"/>
    </row>
    <row r="45" spans="1:21">
      <c r="A45" s="338" t="s">
        <v>18</v>
      </c>
      <c r="B45" s="46" t="s">
        <v>37</v>
      </c>
      <c r="C45" s="46"/>
      <c r="D45" s="46"/>
      <c r="E45" s="46"/>
      <c r="F45" s="46"/>
      <c r="G45" s="46"/>
      <c r="H45" s="46"/>
      <c r="I45" s="46"/>
      <c r="J45" s="46"/>
      <c r="K45" s="46"/>
      <c r="L45" s="46"/>
      <c r="M45" s="46"/>
      <c r="N45" s="46"/>
      <c r="O45" s="46"/>
      <c r="P45" s="46"/>
      <c r="Q45" s="46"/>
      <c r="R45" s="46"/>
      <c r="S45" s="46"/>
    </row>
    <row r="46" spans="1:21">
      <c r="A46" s="335" t="s">
        <v>19</v>
      </c>
      <c r="B46" s="46"/>
      <c r="C46" s="46"/>
      <c r="D46" s="46"/>
      <c r="E46" s="46"/>
      <c r="F46" s="46"/>
      <c r="G46" s="46"/>
      <c r="H46" s="46"/>
      <c r="I46" s="46"/>
      <c r="J46" s="46"/>
      <c r="K46" s="46"/>
      <c r="L46" s="46"/>
      <c r="M46" s="46"/>
      <c r="N46" s="46"/>
      <c r="O46" s="46"/>
      <c r="P46" s="46"/>
      <c r="Q46" s="46"/>
      <c r="R46" s="46"/>
      <c r="S46" s="46"/>
    </row>
    <row r="47" spans="1:21">
      <c r="A47" s="336" t="s">
        <v>20</v>
      </c>
      <c r="B47" s="336" t="s">
        <v>21</v>
      </c>
      <c r="C47" s="374" t="s">
        <v>198</v>
      </c>
      <c r="D47" s="336" t="s">
        <v>18</v>
      </c>
      <c r="E47" s="336" t="s">
        <v>22</v>
      </c>
      <c r="F47" s="336" t="s">
        <v>7</v>
      </c>
      <c r="G47" s="336" t="s">
        <v>13</v>
      </c>
      <c r="H47" s="336" t="s">
        <v>16</v>
      </c>
      <c r="I47" s="336" t="s">
        <v>23</v>
      </c>
      <c r="J47" s="336" t="s">
        <v>24</v>
      </c>
      <c r="K47" s="336" t="s">
        <v>25</v>
      </c>
      <c r="L47" s="336" t="s">
        <v>26</v>
      </c>
      <c r="M47" s="336" t="s">
        <v>27</v>
      </c>
      <c r="N47" s="336" t="s">
        <v>28</v>
      </c>
      <c r="O47" s="336" t="s">
        <v>11</v>
      </c>
      <c r="P47" s="46"/>
      <c r="Q47" s="46"/>
      <c r="R47" s="46"/>
      <c r="S47" s="46"/>
      <c r="U47" s="116"/>
    </row>
    <row r="48" spans="1:21">
      <c r="A48" s="46" t="s">
        <v>1242</v>
      </c>
      <c r="B48" s="46">
        <f>Q48</f>
        <v>10.8</v>
      </c>
      <c r="C48" s="46"/>
      <c r="D48" s="46" t="s">
        <v>37</v>
      </c>
      <c r="E48" s="400" t="s">
        <v>2</v>
      </c>
      <c r="F48" s="46" t="s">
        <v>29</v>
      </c>
      <c r="G48" s="46" t="s">
        <v>14</v>
      </c>
      <c r="H48" s="46" t="s">
        <v>30</v>
      </c>
      <c r="I48" s="46">
        <v>2</v>
      </c>
      <c r="J48" s="46">
        <f>LN(B48)</f>
        <v>2.379546134130174</v>
      </c>
      <c r="K48" s="46">
        <v>0.10307764064044142</v>
      </c>
      <c r="L48" s="46" t="s">
        <v>31</v>
      </c>
      <c r="M48" s="46" t="s">
        <v>31</v>
      </c>
      <c r="N48" s="46" t="s">
        <v>31</v>
      </c>
      <c r="O48" s="46"/>
      <c r="P48" s="46"/>
      <c r="Q48" s="457">
        <v>10.8</v>
      </c>
      <c r="R48" s="46"/>
      <c r="S48" s="46"/>
    </row>
    <row r="49" spans="1:25">
      <c r="A49" s="47" t="s">
        <v>900</v>
      </c>
      <c r="B49" s="46">
        <f>Q49</f>
        <v>11.4</v>
      </c>
      <c r="C49" s="46"/>
      <c r="D49" s="46" t="s">
        <v>37</v>
      </c>
      <c r="E49" s="46" t="s">
        <v>40</v>
      </c>
      <c r="F49" s="46" t="s">
        <v>29</v>
      </c>
      <c r="G49" s="46" t="s">
        <v>58</v>
      </c>
      <c r="H49" s="46" t="s">
        <v>33</v>
      </c>
      <c r="I49" s="46">
        <v>2</v>
      </c>
      <c r="J49" s="46">
        <f t="shared" ref="J49:J57" si="2">LN(B49)</f>
        <v>2.4336133554004498</v>
      </c>
      <c r="K49" s="46">
        <v>4.9999999999998969E-3</v>
      </c>
      <c r="L49" s="46" t="s">
        <v>31</v>
      </c>
      <c r="M49" s="46" t="s">
        <v>31</v>
      </c>
      <c r="N49" s="46" t="s">
        <v>31</v>
      </c>
      <c r="O49" s="46"/>
      <c r="P49" s="393" t="s">
        <v>221</v>
      </c>
      <c r="Q49" s="120">
        <v>11.4</v>
      </c>
      <c r="R49" s="46"/>
      <c r="S49" s="46"/>
    </row>
    <row r="50" spans="1:25">
      <c r="A50" s="26" t="s">
        <v>77</v>
      </c>
      <c r="B50" s="46">
        <f>S50</f>
        <v>3.0548302872062667</v>
      </c>
      <c r="C50" s="46"/>
      <c r="D50" s="46" t="s">
        <v>42</v>
      </c>
      <c r="E50" s="46" t="s">
        <v>40</v>
      </c>
      <c r="F50" s="46" t="s">
        <v>29</v>
      </c>
      <c r="G50" s="46" t="s">
        <v>217</v>
      </c>
      <c r="H50" s="46" t="s">
        <v>33</v>
      </c>
      <c r="I50" s="46">
        <v>2</v>
      </c>
      <c r="J50" s="46">
        <f t="shared" si="2"/>
        <v>1.1167240386111559</v>
      </c>
      <c r="K50" s="46">
        <v>4.9999999999998969E-3</v>
      </c>
      <c r="L50" s="46" t="s">
        <v>31</v>
      </c>
      <c r="M50" s="46" t="s">
        <v>31</v>
      </c>
      <c r="N50" s="46" t="s">
        <v>31</v>
      </c>
      <c r="O50" s="46"/>
      <c r="P50" s="393" t="s">
        <v>218</v>
      </c>
      <c r="Q50" s="120">
        <v>117</v>
      </c>
      <c r="R50" s="46" t="s">
        <v>219</v>
      </c>
      <c r="S50" s="46">
        <f>Q50/38.3</f>
        <v>3.0548302872062667</v>
      </c>
      <c r="T50" s="173"/>
      <c r="U50" s="174"/>
      <c r="V50" s="174"/>
      <c r="W50" s="174"/>
      <c r="X50" s="174"/>
      <c r="Y50" s="174"/>
    </row>
    <row r="51" spans="1:25">
      <c r="A51" s="338" t="s">
        <v>75</v>
      </c>
      <c r="B51" s="342">
        <f>Q51</f>
        <v>28.1</v>
      </c>
      <c r="C51" s="342"/>
      <c r="D51" s="46" t="s">
        <v>39</v>
      </c>
      <c r="E51" s="46" t="s">
        <v>40</v>
      </c>
      <c r="F51" s="46" t="s">
        <v>29</v>
      </c>
      <c r="G51" s="32" t="s">
        <v>58</v>
      </c>
      <c r="H51" s="46" t="s">
        <v>33</v>
      </c>
      <c r="I51" s="46">
        <v>2</v>
      </c>
      <c r="J51" s="46">
        <f t="shared" si="2"/>
        <v>3.3357695763396999</v>
      </c>
      <c r="K51" s="46">
        <v>4.9999999999998969E-3</v>
      </c>
      <c r="L51" s="46" t="s">
        <v>31</v>
      </c>
      <c r="M51" s="46" t="s">
        <v>31</v>
      </c>
      <c r="N51" s="46" t="s">
        <v>31</v>
      </c>
      <c r="O51" s="46"/>
      <c r="P51" s="393" t="s">
        <v>216</v>
      </c>
      <c r="Q51" s="120">
        <v>28.1</v>
      </c>
      <c r="R51" s="46"/>
      <c r="S51" s="46"/>
    </row>
    <row r="52" spans="1:25">
      <c r="A52" s="47" t="s">
        <v>902</v>
      </c>
      <c r="B52" s="46">
        <f>S52</f>
        <v>0.22</v>
      </c>
      <c r="C52" s="46"/>
      <c r="D52" s="46" t="s">
        <v>37</v>
      </c>
      <c r="E52" s="46" t="s">
        <v>40</v>
      </c>
      <c r="F52" s="46" t="s">
        <v>29</v>
      </c>
      <c r="G52" s="46" t="s">
        <v>35</v>
      </c>
      <c r="H52" s="46" t="s">
        <v>33</v>
      </c>
      <c r="I52" s="46">
        <v>2</v>
      </c>
      <c r="J52" s="46">
        <f t="shared" si="2"/>
        <v>-1.5141277326297755</v>
      </c>
      <c r="K52" s="46">
        <v>0.10049875621120885</v>
      </c>
      <c r="L52" s="46" t="s">
        <v>31</v>
      </c>
      <c r="M52" s="46" t="s">
        <v>31</v>
      </c>
      <c r="N52" s="46" t="s">
        <v>31</v>
      </c>
      <c r="O52" s="46"/>
      <c r="P52" s="393" t="s">
        <v>575</v>
      </c>
      <c r="Q52" s="120">
        <v>220</v>
      </c>
      <c r="R52" s="393" t="s">
        <v>221</v>
      </c>
      <c r="S52" s="406">
        <f t="shared" ref="S52:S54" si="3">0.001*Q52</f>
        <v>0.22</v>
      </c>
    </row>
    <row r="53" spans="1:25">
      <c r="A53" s="47" t="s">
        <v>903</v>
      </c>
      <c r="B53" s="46">
        <f>S53</f>
        <v>4.3E-3</v>
      </c>
      <c r="C53" s="46"/>
      <c r="D53" s="46" t="s">
        <v>37</v>
      </c>
      <c r="E53" s="46" t="s">
        <v>43</v>
      </c>
      <c r="F53" s="46" t="s">
        <v>44</v>
      </c>
      <c r="G53" s="46" t="s">
        <v>29</v>
      </c>
      <c r="H53" s="46" t="s">
        <v>45</v>
      </c>
      <c r="I53" s="46">
        <v>2</v>
      </c>
      <c r="J53" s="46">
        <f t="shared" si="2"/>
        <v>-5.4491402562826199</v>
      </c>
      <c r="K53" s="46">
        <v>4.9999999999998969E-3</v>
      </c>
      <c r="L53" s="46" t="s">
        <v>31</v>
      </c>
      <c r="M53" s="46" t="s">
        <v>31</v>
      </c>
      <c r="N53" s="46" t="s">
        <v>31</v>
      </c>
      <c r="O53" s="46"/>
      <c r="P53" s="408" t="s">
        <v>575</v>
      </c>
      <c r="Q53" s="431">
        <v>4.3</v>
      </c>
      <c r="R53" s="393" t="s">
        <v>221</v>
      </c>
      <c r="S53" s="406">
        <f t="shared" si="3"/>
        <v>4.3E-3</v>
      </c>
    </row>
    <row r="54" spans="1:25">
      <c r="A54" s="338" t="s">
        <v>760</v>
      </c>
      <c r="B54" s="46">
        <f>S54</f>
        <v>1.0800000000000001E-2</v>
      </c>
      <c r="C54" s="46"/>
      <c r="D54" s="46" t="s">
        <v>37</v>
      </c>
      <c r="E54" s="46" t="s">
        <v>43</v>
      </c>
      <c r="F54" s="46" t="s">
        <v>44</v>
      </c>
      <c r="G54" s="32" t="s">
        <v>29</v>
      </c>
      <c r="H54" s="46" t="s">
        <v>45</v>
      </c>
      <c r="I54" s="46">
        <v>2</v>
      </c>
      <c r="J54" s="46">
        <f t="shared" si="2"/>
        <v>-4.5282091448519628</v>
      </c>
      <c r="K54" s="46">
        <v>8.9582364335844641E-2</v>
      </c>
      <c r="L54" s="46" t="s">
        <v>31</v>
      </c>
      <c r="M54" s="46" t="s">
        <v>31</v>
      </c>
      <c r="N54" s="46" t="s">
        <v>31</v>
      </c>
      <c r="O54" s="46"/>
      <c r="P54" s="408" t="s">
        <v>575</v>
      </c>
      <c r="Q54" s="431">
        <v>10.8</v>
      </c>
      <c r="R54" s="393" t="s">
        <v>221</v>
      </c>
      <c r="S54" s="406">
        <f t="shared" si="3"/>
        <v>1.0800000000000001E-2</v>
      </c>
    </row>
    <row r="55" spans="1:25">
      <c r="A55" s="430" t="s">
        <v>247</v>
      </c>
      <c r="B55" s="46">
        <f>Q56</f>
        <v>0.65</v>
      </c>
      <c r="C55" s="62" t="s">
        <v>248</v>
      </c>
      <c r="D55" s="46" t="s">
        <v>37</v>
      </c>
      <c r="E55" s="46" t="s">
        <v>40</v>
      </c>
      <c r="F55" s="46" t="s">
        <v>29</v>
      </c>
      <c r="G55" s="32" t="s">
        <v>35</v>
      </c>
      <c r="H55" s="46" t="s">
        <v>33</v>
      </c>
      <c r="I55" s="46">
        <v>2</v>
      </c>
      <c r="J55" s="46">
        <f t="shared" si="2"/>
        <v>-0.43078291609245423</v>
      </c>
      <c r="K55" s="46">
        <v>9.6046863561492793E-2</v>
      </c>
      <c r="L55" s="46" t="s">
        <v>31</v>
      </c>
      <c r="M55" s="46" t="s">
        <v>31</v>
      </c>
      <c r="N55" s="46" t="s">
        <v>31</v>
      </c>
      <c r="O55" s="46"/>
      <c r="P55" s="408"/>
      <c r="Q55" s="431">
        <v>0.65</v>
      </c>
      <c r="R55" s="424"/>
      <c r="S55" s="425"/>
    </row>
    <row r="56" spans="1:25">
      <c r="A56" s="62" t="s">
        <v>245</v>
      </c>
      <c r="B56" s="46">
        <f>Q56</f>
        <v>0.65</v>
      </c>
      <c r="C56" s="46"/>
      <c r="D56" s="46" t="s">
        <v>37</v>
      </c>
      <c r="E56" s="46" t="s">
        <v>40</v>
      </c>
      <c r="F56" s="46" t="s">
        <v>29</v>
      </c>
      <c r="G56" s="46" t="s">
        <v>35</v>
      </c>
      <c r="H56" s="46" t="s">
        <v>33</v>
      </c>
      <c r="I56" s="46">
        <v>2</v>
      </c>
      <c r="J56" s="46">
        <f t="shared" si="2"/>
        <v>-0.43078291609245423</v>
      </c>
      <c r="K56" s="46">
        <v>4.9999999999998969E-3</v>
      </c>
      <c r="L56" s="46" t="s">
        <v>31</v>
      </c>
      <c r="M56" s="46" t="s">
        <v>31</v>
      </c>
      <c r="N56" s="46" t="s">
        <v>31</v>
      </c>
      <c r="O56" s="46"/>
      <c r="P56" s="410" t="s">
        <v>221</v>
      </c>
      <c r="Q56" s="411">
        <v>0.65</v>
      </c>
      <c r="R56" s="46"/>
      <c r="S56" s="46"/>
    </row>
    <row r="57" spans="1:25">
      <c r="A57" s="47" t="s">
        <v>900</v>
      </c>
      <c r="B57" s="46">
        <f>Q56</f>
        <v>0.65</v>
      </c>
      <c r="C57" s="46"/>
      <c r="D57" s="46" t="s">
        <v>37</v>
      </c>
      <c r="E57" s="46" t="s">
        <v>40</v>
      </c>
      <c r="F57" s="46" t="s">
        <v>29</v>
      </c>
      <c r="G57" s="46" t="s">
        <v>58</v>
      </c>
      <c r="H57" s="46" t="s">
        <v>243</v>
      </c>
      <c r="I57" s="46">
        <v>2</v>
      </c>
      <c r="J57" s="46">
        <f t="shared" si="2"/>
        <v>-0.43078291609245423</v>
      </c>
      <c r="K57" s="46">
        <v>4.9999999999998969E-3</v>
      </c>
      <c r="L57" s="46" t="s">
        <v>31</v>
      </c>
      <c r="M57" s="46" t="s">
        <v>31</v>
      </c>
      <c r="N57" s="46" t="s">
        <v>31</v>
      </c>
      <c r="O57" s="46"/>
      <c r="P57" s="46"/>
      <c r="Q57" s="46"/>
      <c r="R57" s="46"/>
      <c r="S57" s="46"/>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CD63-A097-4F6C-B190-B67DDCEEC109}">
  <sheetPr>
    <tabColor theme="6" tint="0.79998168889431442"/>
  </sheetPr>
  <dimension ref="A1:U363"/>
  <sheetViews>
    <sheetView zoomScale="85" zoomScaleNormal="85" workbookViewId="0">
      <selection activeCell="G20" sqref="G20"/>
    </sheetView>
  </sheetViews>
  <sheetFormatPr defaultRowHeight="12.75"/>
  <cols>
    <col min="1" max="1" width="95.140625" style="46" customWidth="1"/>
    <col min="2" max="2" width="15.28515625" style="46" customWidth="1"/>
    <col min="3" max="3" width="14.28515625" style="46" customWidth="1"/>
    <col min="4" max="4" width="35.7109375" style="46" customWidth="1"/>
    <col min="5" max="6" width="9.140625" style="46"/>
    <col min="7" max="7" width="15.5703125" style="46" customWidth="1"/>
    <col min="8" max="17" width="9.140625" style="46"/>
    <col min="18" max="18" width="10.28515625" style="46" bestFit="1" customWidth="1"/>
    <col min="19" max="16384" width="9.140625" style="46"/>
  </cols>
  <sheetData>
    <row r="1" spans="1:18">
      <c r="A1" s="46" t="s">
        <v>0</v>
      </c>
      <c r="B1" s="46">
        <v>13</v>
      </c>
    </row>
    <row r="2" spans="1:18">
      <c r="A2" s="362" t="s">
        <v>5</v>
      </c>
      <c r="B2" s="363" t="s">
        <v>1211</v>
      </c>
      <c r="C2" s="364"/>
      <c r="D2" s="345"/>
      <c r="E2" s="345"/>
      <c r="F2" s="345"/>
      <c r="G2" s="345"/>
      <c r="H2" s="345"/>
      <c r="I2" s="345"/>
      <c r="J2" s="345"/>
      <c r="K2" s="345"/>
      <c r="L2" s="345"/>
      <c r="M2" s="345"/>
    </row>
    <row r="3" spans="1:18">
      <c r="A3" s="338" t="s">
        <v>7</v>
      </c>
      <c r="B3" s="46" t="s">
        <v>779</v>
      </c>
      <c r="C3" s="337"/>
    </row>
    <row r="4" spans="1:18">
      <c r="A4" s="338" t="s">
        <v>9</v>
      </c>
      <c r="B4" s="46" t="s">
        <v>1244</v>
      </c>
      <c r="C4" s="337"/>
    </row>
    <row r="5" spans="1:18" ht="16.5" customHeight="1">
      <c r="A5" s="338" t="s">
        <v>11</v>
      </c>
      <c r="B5" s="339" t="s">
        <v>789</v>
      </c>
    </row>
    <row r="6" spans="1:18">
      <c r="A6" s="338" t="s">
        <v>13</v>
      </c>
      <c r="B6" s="46" t="s">
        <v>14</v>
      </c>
    </row>
    <row r="7" spans="1:18">
      <c r="A7" s="338" t="s">
        <v>15</v>
      </c>
      <c r="B7" s="46">
        <f>B12</f>
        <v>4.2</v>
      </c>
      <c r="O7" s="46" t="s">
        <v>1245</v>
      </c>
    </row>
    <row r="8" spans="1:18">
      <c r="A8" s="338" t="s">
        <v>16</v>
      </c>
      <c r="B8" s="46" t="s">
        <v>17</v>
      </c>
    </row>
    <row r="9" spans="1:18">
      <c r="A9" s="338" t="s">
        <v>18</v>
      </c>
      <c r="B9" s="46" t="s">
        <v>37</v>
      </c>
    </row>
    <row r="10" spans="1:18">
      <c r="A10" s="335" t="s">
        <v>19</v>
      </c>
    </row>
    <row r="11" spans="1:18">
      <c r="A11" s="335" t="s">
        <v>20</v>
      </c>
      <c r="B11" s="336" t="s">
        <v>21</v>
      </c>
      <c r="C11" s="336" t="s">
        <v>18</v>
      </c>
      <c r="D11" s="336" t="s">
        <v>22</v>
      </c>
      <c r="E11" s="336" t="s">
        <v>7</v>
      </c>
      <c r="F11" s="336" t="s">
        <v>13</v>
      </c>
      <c r="G11" s="336" t="s">
        <v>16</v>
      </c>
      <c r="H11" s="336" t="s">
        <v>23</v>
      </c>
      <c r="I11" s="336" t="s">
        <v>24</v>
      </c>
      <c r="J11" s="336" t="s">
        <v>25</v>
      </c>
      <c r="K11" s="336" t="s">
        <v>26</v>
      </c>
      <c r="L11" s="336" t="s">
        <v>27</v>
      </c>
      <c r="M11" s="336" t="s">
        <v>28</v>
      </c>
      <c r="N11" s="336" t="s">
        <v>11</v>
      </c>
    </row>
    <row r="12" spans="1:18">
      <c r="A12" s="338" t="s">
        <v>1211</v>
      </c>
      <c r="B12" s="46">
        <f>'2E. BATTERY DCDC CONVERTER'!B16</f>
        <v>4.2</v>
      </c>
      <c r="C12" s="46" t="s">
        <v>37</v>
      </c>
      <c r="D12" s="400" t="s">
        <v>2</v>
      </c>
      <c r="E12" s="46" t="s">
        <v>29</v>
      </c>
      <c r="F12" s="32" t="s">
        <v>14</v>
      </c>
      <c r="G12" s="46" t="s">
        <v>30</v>
      </c>
      <c r="H12" s="46">
        <v>1</v>
      </c>
      <c r="I12" s="46">
        <v>2.8722813232690055E-2</v>
      </c>
      <c r="J12" s="46" t="s">
        <v>31</v>
      </c>
      <c r="K12" s="46" t="s">
        <v>31</v>
      </c>
      <c r="L12" s="46" t="s">
        <v>31</v>
      </c>
      <c r="M12" s="46" t="s">
        <v>31</v>
      </c>
    </row>
    <row r="13" spans="1:18">
      <c r="A13" s="46" t="s">
        <v>1246</v>
      </c>
      <c r="B13" s="46">
        <v>1</v>
      </c>
      <c r="C13" s="46" t="s">
        <v>18</v>
      </c>
      <c r="D13" s="400" t="s">
        <v>2</v>
      </c>
      <c r="E13" s="46" t="s">
        <v>29</v>
      </c>
      <c r="F13" s="32" t="s">
        <v>14</v>
      </c>
      <c r="G13" s="46" t="s">
        <v>33</v>
      </c>
      <c r="H13" s="46">
        <v>1</v>
      </c>
      <c r="I13" s="46">
        <v>1</v>
      </c>
      <c r="J13" s="46" t="s">
        <v>31</v>
      </c>
      <c r="K13" s="46" t="s">
        <v>31</v>
      </c>
      <c r="L13" s="46" t="s">
        <v>31</v>
      </c>
      <c r="M13" s="46" t="s">
        <v>31</v>
      </c>
    </row>
    <row r="14" spans="1:18">
      <c r="A14" s="46" t="s">
        <v>1247</v>
      </c>
      <c r="B14" s="46">
        <v>1</v>
      </c>
      <c r="C14" s="46" t="s">
        <v>18</v>
      </c>
      <c r="D14" s="400" t="s">
        <v>2</v>
      </c>
      <c r="E14" s="46" t="s">
        <v>29</v>
      </c>
      <c r="F14" s="32" t="s">
        <v>14</v>
      </c>
      <c r="G14" s="46" t="s">
        <v>33</v>
      </c>
      <c r="H14" s="46">
        <v>1</v>
      </c>
      <c r="I14" s="46">
        <v>1</v>
      </c>
      <c r="J14" s="46" t="s">
        <v>31</v>
      </c>
      <c r="K14" s="46" t="s">
        <v>31</v>
      </c>
      <c r="L14" s="46" t="s">
        <v>31</v>
      </c>
      <c r="M14" s="46" t="s">
        <v>31</v>
      </c>
    </row>
    <row r="15" spans="1:18" ht="15">
      <c r="A15" s="47" t="s">
        <v>601</v>
      </c>
      <c r="B15" s="384">
        <f>R15</f>
        <v>4.0999999999999999E-4</v>
      </c>
      <c r="C15" s="46" t="s">
        <v>37</v>
      </c>
      <c r="D15" s="46" t="s">
        <v>40</v>
      </c>
      <c r="E15" s="46" t="s">
        <v>29</v>
      </c>
      <c r="F15" s="32" t="s">
        <v>35</v>
      </c>
      <c r="G15" s="46" t="s">
        <v>33</v>
      </c>
      <c r="H15" s="46">
        <v>2</v>
      </c>
      <c r="I15" s="46">
        <f>LN(B15)</f>
        <v>-7.7993533982659207</v>
      </c>
      <c r="J15" s="46">
        <v>2.8722813232690055E-2</v>
      </c>
      <c r="K15" s="46" t="s">
        <v>31</v>
      </c>
      <c r="L15" s="46" t="s">
        <v>31</v>
      </c>
      <c r="M15" s="46" t="s">
        <v>31</v>
      </c>
      <c r="O15" s="375" t="s">
        <v>575</v>
      </c>
      <c r="P15" s="175">
        <v>0.41</v>
      </c>
      <c r="Q15" s="46" t="s">
        <v>221</v>
      </c>
      <c r="R15" s="384">
        <f>P15*0.001</f>
        <v>4.0999999999999999E-4</v>
      </c>
    </row>
    <row r="16" spans="1:18">
      <c r="A16" s="362" t="s">
        <v>5</v>
      </c>
      <c r="B16" s="363" t="s">
        <v>1247</v>
      </c>
      <c r="C16" s="364"/>
      <c r="D16" s="345"/>
      <c r="E16" s="345"/>
      <c r="F16" s="345"/>
      <c r="G16" s="345"/>
      <c r="H16" s="345"/>
      <c r="I16" s="345"/>
      <c r="J16" s="345"/>
      <c r="K16" s="345"/>
      <c r="L16" s="345"/>
      <c r="M16" s="345"/>
    </row>
    <row r="17" spans="1:18">
      <c r="A17" s="338" t="s">
        <v>7</v>
      </c>
      <c r="B17" s="46" t="s">
        <v>779</v>
      </c>
      <c r="C17" s="337"/>
    </row>
    <row r="18" spans="1:18">
      <c r="A18" s="338" t="s">
        <v>9</v>
      </c>
      <c r="B18" s="46" t="s">
        <v>1248</v>
      </c>
      <c r="C18" s="337"/>
    </row>
    <row r="19" spans="1:18" ht="16.5" customHeight="1">
      <c r="A19" s="338" t="s">
        <v>11</v>
      </c>
      <c r="B19" s="339" t="s">
        <v>789</v>
      </c>
    </row>
    <row r="20" spans="1:18">
      <c r="A20" s="338" t="s">
        <v>13</v>
      </c>
      <c r="B20" s="46" t="s">
        <v>14</v>
      </c>
    </row>
    <row r="21" spans="1:18">
      <c r="A21" s="338" t="s">
        <v>15</v>
      </c>
      <c r="B21" s="46">
        <v>1</v>
      </c>
    </row>
    <row r="22" spans="1:18">
      <c r="A22" s="338" t="s">
        <v>16</v>
      </c>
      <c r="B22" s="46" t="s">
        <v>17</v>
      </c>
    </row>
    <row r="23" spans="1:18">
      <c r="A23" s="338" t="s">
        <v>18</v>
      </c>
      <c r="B23" s="46" t="s">
        <v>18</v>
      </c>
    </row>
    <row r="24" spans="1:18">
      <c r="A24" s="335" t="s">
        <v>19</v>
      </c>
    </row>
    <row r="25" spans="1:18">
      <c r="A25" s="335" t="s">
        <v>20</v>
      </c>
      <c r="B25" s="336" t="s">
        <v>21</v>
      </c>
      <c r="C25" s="336" t="s">
        <v>18</v>
      </c>
      <c r="D25" s="336" t="s">
        <v>22</v>
      </c>
      <c r="E25" s="336" t="s">
        <v>7</v>
      </c>
      <c r="F25" s="336" t="s">
        <v>13</v>
      </c>
      <c r="G25" s="336" t="s">
        <v>16</v>
      </c>
      <c r="H25" s="336" t="s">
        <v>23</v>
      </c>
      <c r="I25" s="336" t="s">
        <v>24</v>
      </c>
      <c r="J25" s="336" t="s">
        <v>25</v>
      </c>
      <c r="K25" s="336" t="s">
        <v>26</v>
      </c>
      <c r="L25" s="336" t="s">
        <v>27</v>
      </c>
      <c r="M25" s="336" t="s">
        <v>28</v>
      </c>
      <c r="N25" s="336" t="s">
        <v>11</v>
      </c>
    </row>
    <row r="26" spans="1:18">
      <c r="A26" s="46" t="s">
        <v>1247</v>
      </c>
      <c r="B26" s="46">
        <v>1</v>
      </c>
      <c r="C26" s="46" t="s">
        <v>18</v>
      </c>
      <c r="D26" s="400" t="s">
        <v>2</v>
      </c>
      <c r="E26" s="46" t="s">
        <v>29</v>
      </c>
      <c r="F26" s="32" t="s">
        <v>14</v>
      </c>
      <c r="G26" s="46" t="s">
        <v>30</v>
      </c>
      <c r="H26" s="46">
        <v>1</v>
      </c>
      <c r="I26" s="46">
        <v>1</v>
      </c>
      <c r="J26" s="46" t="s">
        <v>31</v>
      </c>
      <c r="K26" s="46" t="s">
        <v>31</v>
      </c>
      <c r="L26" s="46" t="s">
        <v>31</v>
      </c>
      <c r="M26" s="46" t="s">
        <v>31</v>
      </c>
    </row>
    <row r="27" spans="1:18">
      <c r="A27" s="47" t="s">
        <v>610</v>
      </c>
      <c r="B27" s="46">
        <f>P27</f>
        <v>0.79</v>
      </c>
      <c r="C27" s="46" t="s">
        <v>37</v>
      </c>
      <c r="D27" s="46" t="s">
        <v>40</v>
      </c>
      <c r="E27" s="46" t="s">
        <v>29</v>
      </c>
      <c r="F27" s="46" t="s">
        <v>58</v>
      </c>
      <c r="G27" s="46" t="s">
        <v>33</v>
      </c>
      <c r="H27" s="46">
        <v>1</v>
      </c>
      <c r="I27" s="46">
        <f>B27</f>
        <v>0.79</v>
      </c>
      <c r="J27" s="46" t="s">
        <v>31</v>
      </c>
      <c r="K27" s="46" t="s">
        <v>31</v>
      </c>
      <c r="L27" s="46" t="s">
        <v>31</v>
      </c>
      <c r="M27" s="46" t="s">
        <v>31</v>
      </c>
      <c r="O27" s="46" t="s">
        <v>221</v>
      </c>
      <c r="P27" s="46">
        <v>0.79</v>
      </c>
    </row>
    <row r="28" spans="1:18" ht="15">
      <c r="A28" s="47" t="s">
        <v>908</v>
      </c>
      <c r="B28" s="46">
        <f>R28</f>
        <v>0.52300000000000002</v>
      </c>
      <c r="C28" s="46" t="s">
        <v>37</v>
      </c>
      <c r="D28" s="46" t="s">
        <v>40</v>
      </c>
      <c r="E28" s="46" t="s">
        <v>29</v>
      </c>
      <c r="F28" s="46" t="s">
        <v>58</v>
      </c>
      <c r="G28" s="46" t="s">
        <v>33</v>
      </c>
      <c r="H28" s="46">
        <v>2</v>
      </c>
      <c r="I28" s="46">
        <f>LN(B28)</f>
        <v>-0.64817381491721415</v>
      </c>
      <c r="J28" s="46">
        <v>3.7749172176353707E-2</v>
      </c>
      <c r="K28" s="46" t="s">
        <v>31</v>
      </c>
      <c r="L28" s="46" t="s">
        <v>31</v>
      </c>
      <c r="M28" s="46" t="s">
        <v>31</v>
      </c>
      <c r="O28" s="393" t="s">
        <v>575</v>
      </c>
      <c r="P28" s="120">
        <v>523</v>
      </c>
      <c r="Q28" s="46" t="s">
        <v>221</v>
      </c>
      <c r="R28" s="46">
        <f>P28*0.001</f>
        <v>0.52300000000000002</v>
      </c>
    </row>
    <row r="29" spans="1:18" ht="15">
      <c r="A29" s="47" t="s">
        <v>909</v>
      </c>
      <c r="B29" s="46">
        <f>R29</f>
        <v>3.1199999999999999E-2</v>
      </c>
      <c r="C29" s="46" t="s">
        <v>37</v>
      </c>
      <c r="D29" s="46" t="s">
        <v>40</v>
      </c>
      <c r="E29" s="46" t="s">
        <v>29</v>
      </c>
      <c r="F29" s="46" t="s">
        <v>58</v>
      </c>
      <c r="G29" s="46" t="s">
        <v>33</v>
      </c>
      <c r="H29" s="46">
        <v>2</v>
      </c>
      <c r="I29" s="46">
        <f>LN(B29)</f>
        <v>-3.4673371841667002</v>
      </c>
      <c r="J29" s="46">
        <v>3.7749172176353707E-2</v>
      </c>
      <c r="K29" s="46" t="s">
        <v>31</v>
      </c>
      <c r="L29" s="46" t="s">
        <v>31</v>
      </c>
      <c r="M29" s="46" t="s">
        <v>31</v>
      </c>
      <c r="O29" s="393" t="s">
        <v>575</v>
      </c>
      <c r="P29" s="120">
        <v>31.2</v>
      </c>
      <c r="Q29" s="46" t="s">
        <v>221</v>
      </c>
      <c r="R29" s="46">
        <f t="shared" ref="R29:R30" si="0">P29*0.001</f>
        <v>3.1199999999999999E-2</v>
      </c>
    </row>
    <row r="30" spans="1:18" ht="15">
      <c r="A30" s="47" t="s">
        <v>910</v>
      </c>
      <c r="B30" s="46">
        <f>R30</f>
        <v>0.23600000000000002</v>
      </c>
      <c r="C30" s="46" t="s">
        <v>37</v>
      </c>
      <c r="D30" s="46" t="s">
        <v>40</v>
      </c>
      <c r="E30" s="46" t="s">
        <v>29</v>
      </c>
      <c r="F30" s="46" t="s">
        <v>58</v>
      </c>
      <c r="G30" s="46" t="s">
        <v>33</v>
      </c>
      <c r="H30" s="46">
        <v>2</v>
      </c>
      <c r="I30" s="46">
        <f>LN(B30)</f>
        <v>-1.443923473956527</v>
      </c>
      <c r="J30" s="46">
        <v>3.7749172176353707E-2</v>
      </c>
      <c r="K30" s="46" t="s">
        <v>31</v>
      </c>
      <c r="L30" s="46" t="s">
        <v>31</v>
      </c>
      <c r="M30" s="46" t="s">
        <v>31</v>
      </c>
      <c r="O30" s="393" t="s">
        <v>575</v>
      </c>
      <c r="P30" s="120">
        <v>236</v>
      </c>
      <c r="Q30" s="46" t="s">
        <v>221</v>
      </c>
      <c r="R30" s="46">
        <f t="shared" si="0"/>
        <v>0.23600000000000002</v>
      </c>
    </row>
    <row r="31" spans="1:18">
      <c r="A31" s="362" t="s">
        <v>5</v>
      </c>
      <c r="B31" s="363" t="s">
        <v>1246</v>
      </c>
      <c r="C31" s="364"/>
      <c r="D31" s="345"/>
      <c r="E31" s="345"/>
      <c r="F31" s="345"/>
      <c r="G31" s="345"/>
      <c r="H31" s="345"/>
      <c r="I31" s="345"/>
      <c r="J31" s="345"/>
      <c r="K31" s="345"/>
      <c r="L31" s="345"/>
      <c r="M31" s="345"/>
    </row>
    <row r="32" spans="1:18">
      <c r="A32" s="338" t="s">
        <v>7</v>
      </c>
      <c r="B32" s="46" t="s">
        <v>779</v>
      </c>
      <c r="C32" s="337"/>
    </row>
    <row r="33" spans="1:18">
      <c r="A33" s="338" t="s">
        <v>9</v>
      </c>
      <c r="B33" s="46" t="s">
        <v>1249</v>
      </c>
      <c r="C33" s="337"/>
    </row>
    <row r="34" spans="1:18" ht="18" customHeight="1">
      <c r="A34" s="338" t="s">
        <v>11</v>
      </c>
      <c r="B34" s="339" t="s">
        <v>789</v>
      </c>
    </row>
    <row r="35" spans="1:18">
      <c r="A35" s="338" t="s">
        <v>13</v>
      </c>
      <c r="B35" s="46" t="s">
        <v>14</v>
      </c>
    </row>
    <row r="36" spans="1:18">
      <c r="A36" s="338" t="s">
        <v>15</v>
      </c>
      <c r="B36" s="46">
        <v>1</v>
      </c>
    </row>
    <row r="37" spans="1:18">
      <c r="A37" s="338" t="s">
        <v>16</v>
      </c>
      <c r="B37" s="46" t="s">
        <v>17</v>
      </c>
    </row>
    <row r="38" spans="1:18">
      <c r="A38" s="338" t="s">
        <v>18</v>
      </c>
      <c r="B38" s="46" t="s">
        <v>18</v>
      </c>
    </row>
    <row r="39" spans="1:18">
      <c r="A39" s="335" t="s">
        <v>19</v>
      </c>
    </row>
    <row r="40" spans="1:18">
      <c r="A40" s="335" t="s">
        <v>20</v>
      </c>
      <c r="B40" s="336" t="s">
        <v>21</v>
      </c>
      <c r="C40" s="336" t="s">
        <v>18</v>
      </c>
      <c r="D40" s="336" t="s">
        <v>22</v>
      </c>
      <c r="E40" s="336" t="s">
        <v>7</v>
      </c>
      <c r="F40" s="336" t="s">
        <v>13</v>
      </c>
      <c r="G40" s="336" t="s">
        <v>16</v>
      </c>
      <c r="H40" s="336" t="s">
        <v>23</v>
      </c>
      <c r="I40" s="336" t="s">
        <v>24</v>
      </c>
      <c r="J40" s="336" t="s">
        <v>25</v>
      </c>
      <c r="K40" s="336" t="s">
        <v>26</v>
      </c>
      <c r="L40" s="336" t="s">
        <v>27</v>
      </c>
      <c r="M40" s="336" t="s">
        <v>28</v>
      </c>
      <c r="N40" s="336" t="s">
        <v>11</v>
      </c>
    </row>
    <row r="41" spans="1:18">
      <c r="A41" s="46" t="s">
        <v>1246</v>
      </c>
      <c r="B41" s="46">
        <v>1</v>
      </c>
      <c r="C41" s="46" t="s">
        <v>18</v>
      </c>
      <c r="D41" s="400" t="s">
        <v>2</v>
      </c>
      <c r="E41" s="46" t="s">
        <v>29</v>
      </c>
      <c r="F41" s="32" t="s">
        <v>14</v>
      </c>
      <c r="G41" s="46" t="s">
        <v>30</v>
      </c>
      <c r="H41" s="46">
        <v>1</v>
      </c>
      <c r="I41" s="46">
        <v>1</v>
      </c>
      <c r="J41" s="46" t="s">
        <v>31</v>
      </c>
      <c r="K41" s="46" t="s">
        <v>31</v>
      </c>
      <c r="L41" s="46" t="s">
        <v>31</v>
      </c>
      <c r="M41" s="46" t="s">
        <v>31</v>
      </c>
    </row>
    <row r="42" spans="1:18">
      <c r="A42" s="47" t="s">
        <v>1250</v>
      </c>
      <c r="B42" s="46">
        <f>B55</f>
        <v>0.28100000000000003</v>
      </c>
      <c r="C42" s="46" t="s">
        <v>37</v>
      </c>
      <c r="D42" s="400" t="s">
        <v>2</v>
      </c>
      <c r="E42" s="46" t="s">
        <v>29</v>
      </c>
      <c r="F42" s="32" t="s">
        <v>14</v>
      </c>
      <c r="G42" s="46" t="s">
        <v>33</v>
      </c>
      <c r="H42" s="46">
        <v>1</v>
      </c>
      <c r="I42" s="46">
        <f>B42</f>
        <v>0.28100000000000003</v>
      </c>
      <c r="J42" s="46" t="s">
        <v>31</v>
      </c>
      <c r="K42" s="46" t="s">
        <v>31</v>
      </c>
      <c r="L42" s="46" t="s">
        <v>31</v>
      </c>
      <c r="M42" s="46" t="s">
        <v>31</v>
      </c>
      <c r="O42" s="62"/>
      <c r="P42" s="413"/>
    </row>
    <row r="43" spans="1:18">
      <c r="A43" s="47" t="s">
        <v>1251</v>
      </c>
      <c r="B43" s="46">
        <v>1</v>
      </c>
      <c r="C43" s="46" t="s">
        <v>18</v>
      </c>
      <c r="D43" s="400" t="s">
        <v>2</v>
      </c>
      <c r="E43" s="46" t="s">
        <v>29</v>
      </c>
      <c r="F43" s="32" t="s">
        <v>14</v>
      </c>
      <c r="G43" s="46" t="s">
        <v>33</v>
      </c>
      <c r="H43" s="46">
        <v>1</v>
      </c>
      <c r="I43" s="46">
        <v>1</v>
      </c>
      <c r="J43" s="46" t="s">
        <v>31</v>
      </c>
      <c r="K43" s="46" t="s">
        <v>31</v>
      </c>
      <c r="L43" s="46" t="s">
        <v>31</v>
      </c>
      <c r="M43" s="46" t="s">
        <v>31</v>
      </c>
    </row>
    <row r="44" spans="1:18">
      <c r="A44" s="338" t="s">
        <v>75</v>
      </c>
      <c r="B44" s="350">
        <f>R44</f>
        <v>0.03</v>
      </c>
      <c r="C44" s="46" t="s">
        <v>39</v>
      </c>
      <c r="D44" s="46" t="s">
        <v>40</v>
      </c>
      <c r="E44" s="46" t="s">
        <v>29</v>
      </c>
      <c r="F44" s="32" t="s">
        <v>35</v>
      </c>
      <c r="G44" s="46" t="s">
        <v>33</v>
      </c>
      <c r="H44" s="46">
        <v>2</v>
      </c>
      <c r="I44" s="46">
        <f t="shared" ref="I44" si="1">LN(B44)</f>
        <v>-3.5065578973199818</v>
      </c>
      <c r="J44" s="46">
        <v>7.2284161474004766E-2</v>
      </c>
      <c r="K44" s="46" t="s">
        <v>31</v>
      </c>
      <c r="L44" s="46" t="s">
        <v>31</v>
      </c>
      <c r="M44" s="46" t="s">
        <v>31</v>
      </c>
      <c r="O44" s="375" t="s">
        <v>216</v>
      </c>
      <c r="P44" s="385">
        <v>0.03</v>
      </c>
      <c r="Q44" s="46" t="s">
        <v>216</v>
      </c>
      <c r="R44" s="350">
        <f>P44</f>
        <v>0.03</v>
      </c>
    </row>
    <row r="45" spans="1:18">
      <c r="A45" s="362" t="s">
        <v>5</v>
      </c>
      <c r="B45" s="363" t="s">
        <v>1250</v>
      </c>
      <c r="C45" s="364"/>
      <c r="D45" s="345"/>
      <c r="E45" s="345"/>
      <c r="F45" s="345"/>
      <c r="G45" s="345"/>
      <c r="H45" s="345"/>
      <c r="I45" s="345"/>
      <c r="J45" s="345"/>
      <c r="K45" s="345"/>
      <c r="L45" s="345"/>
      <c r="M45" s="345"/>
    </row>
    <row r="46" spans="1:18">
      <c r="A46" s="338" t="s">
        <v>7</v>
      </c>
      <c r="B46" s="46" t="s">
        <v>779</v>
      </c>
      <c r="C46" s="337"/>
    </row>
    <row r="47" spans="1:18">
      <c r="A47" s="338" t="s">
        <v>9</v>
      </c>
      <c r="B47" s="46" t="s">
        <v>1252</v>
      </c>
      <c r="C47" s="337"/>
    </row>
    <row r="48" spans="1:18" ht="11.25" customHeight="1">
      <c r="A48" s="338" t="s">
        <v>11</v>
      </c>
      <c r="B48" s="339" t="s">
        <v>789</v>
      </c>
    </row>
    <row r="49" spans="1:18">
      <c r="A49" s="338" t="s">
        <v>13</v>
      </c>
      <c r="B49" s="46" t="s">
        <v>14</v>
      </c>
    </row>
    <row r="50" spans="1:18">
      <c r="A50" s="338" t="s">
        <v>15</v>
      </c>
      <c r="B50" s="46">
        <f>B55</f>
        <v>0.28100000000000003</v>
      </c>
    </row>
    <row r="51" spans="1:18">
      <c r="A51" s="338" t="s">
        <v>16</v>
      </c>
      <c r="B51" s="46" t="s">
        <v>17</v>
      </c>
    </row>
    <row r="52" spans="1:18">
      <c r="A52" s="338" t="s">
        <v>18</v>
      </c>
      <c r="B52" s="46" t="s">
        <v>37</v>
      </c>
    </row>
    <row r="53" spans="1:18">
      <c r="A53" s="335" t="s">
        <v>19</v>
      </c>
    </row>
    <row r="54" spans="1:18">
      <c r="A54" s="335" t="s">
        <v>20</v>
      </c>
      <c r="B54" s="336" t="s">
        <v>21</v>
      </c>
      <c r="C54" s="336" t="s">
        <v>18</v>
      </c>
      <c r="D54" s="336" t="s">
        <v>22</v>
      </c>
      <c r="E54" s="336" t="s">
        <v>7</v>
      </c>
      <c r="F54" s="336" t="s">
        <v>13</v>
      </c>
      <c r="G54" s="336" t="s">
        <v>16</v>
      </c>
      <c r="H54" s="336" t="s">
        <v>23</v>
      </c>
      <c r="I54" s="336" t="s">
        <v>24</v>
      </c>
      <c r="J54" s="336" t="s">
        <v>25</v>
      </c>
      <c r="K54" s="336" t="s">
        <v>26</v>
      </c>
      <c r="L54" s="336" t="s">
        <v>27</v>
      </c>
      <c r="M54" s="336" t="s">
        <v>28</v>
      </c>
      <c r="N54" s="336" t="s">
        <v>11</v>
      </c>
    </row>
    <row r="55" spans="1:18" ht="15">
      <c r="A55" s="47" t="s">
        <v>1250</v>
      </c>
      <c r="B55" s="46">
        <f>P55</f>
        <v>0.28100000000000003</v>
      </c>
      <c r="C55" s="46" t="s">
        <v>37</v>
      </c>
      <c r="D55" s="400" t="s">
        <v>2</v>
      </c>
      <c r="E55" s="46" t="s">
        <v>29</v>
      </c>
      <c r="F55" s="32" t="s">
        <v>14</v>
      </c>
      <c r="G55" s="46" t="s">
        <v>30</v>
      </c>
      <c r="H55" s="46">
        <v>1</v>
      </c>
      <c r="I55" s="46">
        <f>B55</f>
        <v>0.28100000000000003</v>
      </c>
      <c r="J55" s="46" t="s">
        <v>31</v>
      </c>
      <c r="K55" s="46" t="s">
        <v>31</v>
      </c>
      <c r="L55" s="46" t="s">
        <v>31</v>
      </c>
      <c r="M55" s="46" t="s">
        <v>31</v>
      </c>
      <c r="O55" s="473" t="s">
        <v>221</v>
      </c>
      <c r="P55" s="120">
        <v>0.28100000000000003</v>
      </c>
      <c r="Q55" s="46" t="s">
        <v>221</v>
      </c>
      <c r="R55" s="46">
        <f>P55</f>
        <v>0.28100000000000003</v>
      </c>
    </row>
    <row r="56" spans="1:18" ht="15">
      <c r="A56" s="47" t="s">
        <v>601</v>
      </c>
      <c r="B56" s="384">
        <f>R56</f>
        <v>0.28100000000000003</v>
      </c>
      <c r="C56" s="46" t="s">
        <v>37</v>
      </c>
      <c r="D56" s="46" t="s">
        <v>40</v>
      </c>
      <c r="E56" s="46" t="s">
        <v>29</v>
      </c>
      <c r="F56" s="32" t="s">
        <v>35</v>
      </c>
      <c r="G56" s="46" t="s">
        <v>33</v>
      </c>
      <c r="H56" s="46">
        <v>2</v>
      </c>
      <c r="I56" s="46">
        <f>LN(B56)</f>
        <v>-1.2694006096483912</v>
      </c>
      <c r="J56" s="46">
        <v>2.8722813232690055E-2</v>
      </c>
      <c r="K56" s="46" t="s">
        <v>31</v>
      </c>
      <c r="L56" s="46" t="s">
        <v>31</v>
      </c>
      <c r="M56" s="46" t="s">
        <v>31</v>
      </c>
      <c r="O56" s="475" t="s">
        <v>221</v>
      </c>
      <c r="P56" s="120">
        <v>0.28100000000000003</v>
      </c>
      <c r="Q56" s="46" t="s">
        <v>221</v>
      </c>
      <c r="R56" s="384">
        <f>P56</f>
        <v>0.28100000000000003</v>
      </c>
    </row>
    <row r="57" spans="1:18" ht="15">
      <c r="A57" s="338" t="s">
        <v>75</v>
      </c>
      <c r="B57" s="342">
        <f>R57</f>
        <v>8.4000000000000005E-2</v>
      </c>
      <c r="C57" s="46" t="s">
        <v>39</v>
      </c>
      <c r="D57" s="46" t="s">
        <v>40</v>
      </c>
      <c r="E57" s="46" t="s">
        <v>29</v>
      </c>
      <c r="F57" s="32" t="s">
        <v>35</v>
      </c>
      <c r="G57" s="46" t="s">
        <v>33</v>
      </c>
      <c r="H57" s="46">
        <v>2</v>
      </c>
      <c r="I57" s="46">
        <f t="shared" ref="I57" si="2">LN(B57)</f>
        <v>-2.4769384801388235</v>
      </c>
      <c r="J57" s="46">
        <v>7.2284161474004766E-2</v>
      </c>
      <c r="K57" s="46" t="s">
        <v>31</v>
      </c>
      <c r="L57" s="46" t="s">
        <v>31</v>
      </c>
      <c r="M57" s="46" t="s">
        <v>31</v>
      </c>
      <c r="O57" s="375" t="s">
        <v>216</v>
      </c>
      <c r="P57" s="120">
        <v>8.4000000000000005E-2</v>
      </c>
      <c r="Q57" s="46" t="s">
        <v>216</v>
      </c>
      <c r="R57" s="342">
        <f>P57</f>
        <v>8.4000000000000005E-2</v>
      </c>
    </row>
    <row r="58" spans="1:18">
      <c r="A58" s="362" t="s">
        <v>5</v>
      </c>
      <c r="B58" s="148" t="s">
        <v>1251</v>
      </c>
      <c r="C58" s="364"/>
      <c r="D58" s="345"/>
      <c r="E58" s="345"/>
      <c r="F58" s="345"/>
      <c r="G58" s="345"/>
      <c r="H58" s="345"/>
      <c r="I58" s="345"/>
      <c r="J58" s="345"/>
      <c r="K58" s="345"/>
      <c r="L58" s="345"/>
      <c r="M58" s="345"/>
    </row>
    <row r="59" spans="1:18">
      <c r="A59" s="338" t="s">
        <v>7</v>
      </c>
      <c r="B59" s="46" t="s">
        <v>779</v>
      </c>
      <c r="C59" s="337"/>
    </row>
    <row r="60" spans="1:18">
      <c r="A60" s="416" t="s">
        <v>9</v>
      </c>
      <c r="B60" s="46" t="s">
        <v>1253</v>
      </c>
      <c r="C60" s="337"/>
    </row>
    <row r="61" spans="1:18" ht="27.75" customHeight="1">
      <c r="A61" s="338" t="s">
        <v>11</v>
      </c>
      <c r="B61" s="339" t="s">
        <v>789</v>
      </c>
    </row>
    <row r="62" spans="1:18">
      <c r="A62" s="338" t="s">
        <v>13</v>
      </c>
      <c r="B62" s="46" t="s">
        <v>14</v>
      </c>
    </row>
    <row r="63" spans="1:18">
      <c r="A63" s="338" t="s">
        <v>15</v>
      </c>
      <c r="B63" s="46">
        <v>1</v>
      </c>
    </row>
    <row r="64" spans="1:18">
      <c r="A64" s="338" t="s">
        <v>16</v>
      </c>
      <c r="B64" s="46" t="s">
        <v>17</v>
      </c>
    </row>
    <row r="65" spans="1:18">
      <c r="A65" s="338" t="s">
        <v>18</v>
      </c>
      <c r="B65" s="46" t="s">
        <v>18</v>
      </c>
    </row>
    <row r="66" spans="1:18">
      <c r="A66" s="335" t="s">
        <v>19</v>
      </c>
    </row>
    <row r="67" spans="1:18">
      <c r="A67" s="335" t="s">
        <v>20</v>
      </c>
      <c r="B67" s="336" t="s">
        <v>21</v>
      </c>
      <c r="C67" s="336" t="s">
        <v>18</v>
      </c>
      <c r="D67" s="336" t="s">
        <v>22</v>
      </c>
      <c r="E67" s="336" t="s">
        <v>7</v>
      </c>
      <c r="F67" s="336" t="s">
        <v>13</v>
      </c>
      <c r="G67" s="336" t="s">
        <v>16</v>
      </c>
      <c r="H67" s="336" t="s">
        <v>23</v>
      </c>
      <c r="I67" s="336" t="s">
        <v>24</v>
      </c>
      <c r="J67" s="336" t="s">
        <v>25</v>
      </c>
      <c r="K67" s="336" t="s">
        <v>26</v>
      </c>
      <c r="L67" s="336" t="s">
        <v>27</v>
      </c>
      <c r="M67" s="336" t="s">
        <v>28</v>
      </c>
      <c r="N67" s="336" t="s">
        <v>11</v>
      </c>
    </row>
    <row r="68" spans="1:18">
      <c r="A68" s="47" t="s">
        <v>1251</v>
      </c>
      <c r="B68" s="46">
        <v>1</v>
      </c>
      <c r="C68" s="46" t="s">
        <v>18</v>
      </c>
      <c r="D68" s="400" t="s">
        <v>2</v>
      </c>
      <c r="E68" s="46" t="s">
        <v>29</v>
      </c>
      <c r="F68" s="32" t="s">
        <v>14</v>
      </c>
      <c r="G68" s="46" t="s">
        <v>30</v>
      </c>
      <c r="H68" s="46">
        <v>1</v>
      </c>
      <c r="I68" s="46">
        <v>1</v>
      </c>
      <c r="J68" s="46" t="s">
        <v>31</v>
      </c>
      <c r="K68" s="46" t="s">
        <v>31</v>
      </c>
      <c r="L68" s="46" t="s">
        <v>31</v>
      </c>
      <c r="M68" s="46" t="s">
        <v>31</v>
      </c>
    </row>
    <row r="69" spans="1:18">
      <c r="A69" s="47" t="s">
        <v>1254</v>
      </c>
      <c r="B69" s="384">
        <f>B77</f>
        <v>0.14000000000000001</v>
      </c>
      <c r="C69" s="46" t="s">
        <v>37</v>
      </c>
      <c r="D69" s="400" t="s">
        <v>2</v>
      </c>
      <c r="E69" s="46" t="s">
        <v>29</v>
      </c>
      <c r="F69" s="32" t="s">
        <v>14</v>
      </c>
      <c r="G69" s="46" t="s">
        <v>33</v>
      </c>
      <c r="H69" s="46">
        <v>1</v>
      </c>
      <c r="I69" s="384">
        <f>B69</f>
        <v>0.14000000000000001</v>
      </c>
      <c r="J69" s="46" t="s">
        <v>31</v>
      </c>
      <c r="K69" s="46" t="s">
        <v>31</v>
      </c>
      <c r="L69" s="46" t="s">
        <v>31</v>
      </c>
      <c r="M69" s="46" t="s">
        <v>31</v>
      </c>
      <c r="O69" s="375"/>
      <c r="P69" s="386"/>
      <c r="Q69" s="46" t="s">
        <v>221</v>
      </c>
      <c r="R69" s="384">
        <v>0.01</v>
      </c>
    </row>
    <row r="70" spans="1:18">
      <c r="A70" s="47" t="s">
        <v>1255</v>
      </c>
      <c r="B70" s="342">
        <v>1</v>
      </c>
      <c r="C70" s="46" t="s">
        <v>18</v>
      </c>
      <c r="D70" s="400" t="s">
        <v>2</v>
      </c>
      <c r="E70" s="46" t="s">
        <v>29</v>
      </c>
      <c r="F70" s="32" t="s">
        <v>14</v>
      </c>
      <c r="G70" s="46" t="s">
        <v>33</v>
      </c>
      <c r="H70" s="46">
        <v>1</v>
      </c>
      <c r="I70" s="46">
        <v>1</v>
      </c>
      <c r="J70" s="46" t="s">
        <v>31</v>
      </c>
      <c r="K70" s="46" t="s">
        <v>31</v>
      </c>
      <c r="L70" s="46" t="s">
        <v>31</v>
      </c>
      <c r="M70" s="46" t="s">
        <v>31</v>
      </c>
      <c r="O70" s="375"/>
      <c r="P70" s="432"/>
      <c r="R70" s="342"/>
    </row>
    <row r="71" spans="1:18" ht="15">
      <c r="A71" s="338" t="s">
        <v>75</v>
      </c>
      <c r="B71" s="342">
        <f>R71</f>
        <v>0.96</v>
      </c>
      <c r="C71" s="46" t="s">
        <v>39</v>
      </c>
      <c r="D71" s="46" t="s">
        <v>40</v>
      </c>
      <c r="E71" s="46" t="s">
        <v>29</v>
      </c>
      <c r="F71" s="32" t="s">
        <v>35</v>
      </c>
      <c r="G71" s="46" t="s">
        <v>33</v>
      </c>
      <c r="H71" s="46">
        <v>2</v>
      </c>
      <c r="I71" s="46">
        <f t="shared" ref="I71" si="3">LN(B71)</f>
        <v>-4.0821994520255166E-2</v>
      </c>
      <c r="J71" s="46">
        <v>7.2284161474004766E-2</v>
      </c>
      <c r="K71" s="46" t="s">
        <v>31</v>
      </c>
      <c r="L71" s="46" t="s">
        <v>31</v>
      </c>
      <c r="M71" s="46" t="s">
        <v>31</v>
      </c>
      <c r="O71" s="375" t="s">
        <v>216</v>
      </c>
      <c r="P71" s="120">
        <v>0.96</v>
      </c>
      <c r="Q71" s="46" t="s">
        <v>216</v>
      </c>
      <c r="R71" s="342">
        <f>P71</f>
        <v>0.96</v>
      </c>
    </row>
    <row r="72" spans="1:18">
      <c r="A72" s="362" t="s">
        <v>5</v>
      </c>
      <c r="B72" s="148" t="s">
        <v>1254</v>
      </c>
      <c r="C72" s="364"/>
      <c r="D72" s="345"/>
      <c r="E72" s="345"/>
      <c r="F72" s="345"/>
      <c r="G72" s="345"/>
      <c r="H72" s="345"/>
      <c r="I72" s="345"/>
      <c r="J72" s="345"/>
      <c r="K72" s="345"/>
      <c r="L72" s="345"/>
      <c r="M72" s="345"/>
    </row>
    <row r="73" spans="1:18">
      <c r="A73" s="338" t="s">
        <v>7</v>
      </c>
      <c r="B73" s="46" t="s">
        <v>779</v>
      </c>
      <c r="C73" s="337"/>
    </row>
    <row r="74" spans="1:18">
      <c r="A74" s="416" t="s">
        <v>9</v>
      </c>
      <c r="B74" s="46" t="s">
        <v>1256</v>
      </c>
      <c r="C74" s="337"/>
    </row>
    <row r="75" spans="1:18" ht="15" customHeight="1">
      <c r="A75" s="338" t="s">
        <v>11</v>
      </c>
      <c r="B75" s="339" t="s">
        <v>789</v>
      </c>
    </row>
    <row r="76" spans="1:18">
      <c r="A76" s="338" t="s">
        <v>13</v>
      </c>
      <c r="B76" s="46" t="s">
        <v>14</v>
      </c>
    </row>
    <row r="77" spans="1:18">
      <c r="A77" s="338" t="s">
        <v>15</v>
      </c>
      <c r="B77" s="350">
        <f>B82</f>
        <v>0.14000000000000001</v>
      </c>
    </row>
    <row r="78" spans="1:18">
      <c r="A78" s="338" t="s">
        <v>16</v>
      </c>
      <c r="B78" s="46" t="s">
        <v>17</v>
      </c>
    </row>
    <row r="79" spans="1:18">
      <c r="A79" s="338" t="s">
        <v>18</v>
      </c>
      <c r="B79" s="46" t="s">
        <v>37</v>
      </c>
    </row>
    <row r="80" spans="1:18">
      <c r="A80" s="335" t="s">
        <v>19</v>
      </c>
    </row>
    <row r="81" spans="1:18">
      <c r="A81" s="335" t="s">
        <v>20</v>
      </c>
      <c r="B81" s="336" t="s">
        <v>21</v>
      </c>
      <c r="C81" s="336" t="s">
        <v>18</v>
      </c>
      <c r="D81" s="336" t="s">
        <v>22</v>
      </c>
      <c r="E81" s="336" t="s">
        <v>7</v>
      </c>
      <c r="F81" s="336" t="s">
        <v>13</v>
      </c>
      <c r="G81" s="336" t="s">
        <v>16</v>
      </c>
      <c r="H81" s="336" t="s">
        <v>23</v>
      </c>
      <c r="I81" s="336" t="s">
        <v>24</v>
      </c>
      <c r="J81" s="336" t="s">
        <v>25</v>
      </c>
      <c r="K81" s="336" t="s">
        <v>26</v>
      </c>
      <c r="L81" s="336" t="s">
        <v>27</v>
      </c>
      <c r="M81" s="336" t="s">
        <v>28</v>
      </c>
      <c r="N81" s="336" t="s">
        <v>11</v>
      </c>
    </row>
    <row r="82" spans="1:18">
      <c r="A82" s="47" t="s">
        <v>1254</v>
      </c>
      <c r="B82" s="350">
        <v>0.14000000000000001</v>
      </c>
      <c r="C82" s="46" t="s">
        <v>37</v>
      </c>
      <c r="D82" s="400" t="s">
        <v>2</v>
      </c>
      <c r="E82" s="46" t="s">
        <v>29</v>
      </c>
      <c r="F82" s="32" t="s">
        <v>14</v>
      </c>
      <c r="G82" s="46" t="s">
        <v>30</v>
      </c>
      <c r="H82" s="46">
        <v>1</v>
      </c>
      <c r="I82" s="350">
        <f>B82</f>
        <v>0.14000000000000001</v>
      </c>
      <c r="J82" s="46" t="s">
        <v>31</v>
      </c>
      <c r="K82" s="46" t="s">
        <v>31</v>
      </c>
      <c r="L82" s="46" t="s">
        <v>31</v>
      </c>
      <c r="M82" s="46" t="s">
        <v>31</v>
      </c>
      <c r="O82" s="375"/>
      <c r="P82" s="386"/>
      <c r="Q82" s="46" t="s">
        <v>221</v>
      </c>
      <c r="R82" s="384">
        <v>0.01</v>
      </c>
    </row>
    <row r="83" spans="1:18">
      <c r="A83" s="47" t="s">
        <v>655</v>
      </c>
      <c r="B83" s="350">
        <v>0.14000000000000001</v>
      </c>
      <c r="C83" s="46" t="s">
        <v>37</v>
      </c>
      <c r="D83" s="46" t="s">
        <v>40</v>
      </c>
      <c r="E83" s="46" t="s">
        <v>29</v>
      </c>
      <c r="F83" s="32" t="s">
        <v>58</v>
      </c>
      <c r="G83" s="46" t="s">
        <v>33</v>
      </c>
      <c r="H83" s="46">
        <v>1</v>
      </c>
      <c r="I83" s="350">
        <f t="shared" ref="I83:I84" si="4">B83</f>
        <v>0.14000000000000001</v>
      </c>
      <c r="J83" s="46" t="s">
        <v>31</v>
      </c>
      <c r="K83" s="46" t="s">
        <v>31</v>
      </c>
      <c r="L83" s="46" t="s">
        <v>31</v>
      </c>
      <c r="M83" s="46" t="s">
        <v>31</v>
      </c>
      <c r="O83" s="375"/>
      <c r="P83" s="432"/>
      <c r="R83" s="342"/>
    </row>
    <row r="84" spans="1:18">
      <c r="A84" s="47" t="s">
        <v>708</v>
      </c>
      <c r="B84" s="350">
        <v>0.14000000000000001</v>
      </c>
      <c r="C84" s="46" t="s">
        <v>37</v>
      </c>
      <c r="D84" s="46" t="s">
        <v>40</v>
      </c>
      <c r="E84" s="46" t="s">
        <v>29</v>
      </c>
      <c r="F84" s="46" t="s">
        <v>58</v>
      </c>
      <c r="G84" s="46" t="s">
        <v>33</v>
      </c>
      <c r="H84" s="46">
        <v>1</v>
      </c>
      <c r="I84" s="350">
        <f t="shared" si="4"/>
        <v>0.14000000000000001</v>
      </c>
      <c r="J84" s="46" t="s">
        <v>31</v>
      </c>
      <c r="K84" s="46" t="s">
        <v>31</v>
      </c>
      <c r="L84" s="46" t="s">
        <v>31</v>
      </c>
      <c r="M84" s="46" t="s">
        <v>31</v>
      </c>
    </row>
    <row r="85" spans="1:18" s="345" customFormat="1">
      <c r="A85" s="362" t="s">
        <v>5</v>
      </c>
      <c r="B85" s="148" t="s">
        <v>1255</v>
      </c>
      <c r="C85" s="364"/>
    </row>
    <row r="86" spans="1:18">
      <c r="A86" s="338" t="s">
        <v>7</v>
      </c>
      <c r="B86" s="46" t="s">
        <v>779</v>
      </c>
      <c r="C86" s="337"/>
    </row>
    <row r="87" spans="1:18">
      <c r="A87" s="416" t="s">
        <v>9</v>
      </c>
      <c r="B87" s="46" t="s">
        <v>1257</v>
      </c>
      <c r="C87" s="337"/>
    </row>
    <row r="88" spans="1:18" ht="15.75" customHeight="1">
      <c r="A88" s="338" t="s">
        <v>11</v>
      </c>
      <c r="B88" s="339" t="s">
        <v>789</v>
      </c>
    </row>
    <row r="89" spans="1:18">
      <c r="A89" s="338" t="s">
        <v>13</v>
      </c>
      <c r="B89" s="46" t="s">
        <v>14</v>
      </c>
    </row>
    <row r="90" spans="1:18">
      <c r="A90" s="338" t="s">
        <v>15</v>
      </c>
      <c r="B90" s="46">
        <v>1</v>
      </c>
    </row>
    <row r="91" spans="1:18">
      <c r="A91" s="338" t="s">
        <v>16</v>
      </c>
      <c r="B91" s="46" t="s">
        <v>17</v>
      </c>
    </row>
    <row r="92" spans="1:18">
      <c r="A92" s="338" t="s">
        <v>18</v>
      </c>
      <c r="B92" s="46" t="s">
        <v>18</v>
      </c>
    </row>
    <row r="93" spans="1:18">
      <c r="A93" s="335" t="s">
        <v>19</v>
      </c>
    </row>
    <row r="94" spans="1:18">
      <c r="A94" s="335" t="s">
        <v>20</v>
      </c>
      <c r="B94" s="336" t="s">
        <v>21</v>
      </c>
      <c r="C94" s="336" t="s">
        <v>18</v>
      </c>
      <c r="D94" s="336" t="s">
        <v>22</v>
      </c>
      <c r="E94" s="336" t="s">
        <v>7</v>
      </c>
      <c r="F94" s="336" t="s">
        <v>13</v>
      </c>
      <c r="G94" s="336" t="s">
        <v>16</v>
      </c>
      <c r="H94" s="336" t="s">
        <v>23</v>
      </c>
      <c r="I94" s="336" t="s">
        <v>24</v>
      </c>
      <c r="J94" s="336" t="s">
        <v>25</v>
      </c>
      <c r="K94" s="336" t="s">
        <v>26</v>
      </c>
      <c r="L94" s="336" t="s">
        <v>27</v>
      </c>
      <c r="M94" s="336" t="s">
        <v>28</v>
      </c>
      <c r="N94" s="336" t="s">
        <v>11</v>
      </c>
    </row>
    <row r="95" spans="1:18">
      <c r="A95" s="47" t="s">
        <v>1255</v>
      </c>
      <c r="B95" s="342">
        <v>1</v>
      </c>
      <c r="C95" s="46" t="s">
        <v>18</v>
      </c>
      <c r="D95" s="400" t="s">
        <v>2</v>
      </c>
      <c r="E95" s="46" t="s">
        <v>29</v>
      </c>
      <c r="F95" s="32" t="s">
        <v>14</v>
      </c>
      <c r="G95" s="46" t="s">
        <v>30</v>
      </c>
      <c r="H95" s="46">
        <v>1</v>
      </c>
      <c r="I95" s="46">
        <v>1</v>
      </c>
      <c r="J95" s="46" t="s">
        <v>31</v>
      </c>
      <c r="K95" s="46" t="s">
        <v>31</v>
      </c>
      <c r="L95" s="46" t="s">
        <v>31</v>
      </c>
      <c r="M95" s="46" t="s">
        <v>31</v>
      </c>
      <c r="O95" s="375"/>
      <c r="P95" s="432"/>
      <c r="R95" s="342"/>
    </row>
    <row r="96" spans="1:18">
      <c r="A96" s="47" t="s">
        <v>1258</v>
      </c>
      <c r="B96" s="46">
        <v>1</v>
      </c>
      <c r="C96" s="46" t="s">
        <v>18</v>
      </c>
      <c r="D96" s="400" t="s">
        <v>2</v>
      </c>
      <c r="E96" s="46" t="s">
        <v>29</v>
      </c>
      <c r="F96" s="32" t="s">
        <v>14</v>
      </c>
      <c r="G96" s="46" t="s">
        <v>33</v>
      </c>
      <c r="H96" s="46">
        <v>1</v>
      </c>
      <c r="I96" s="46">
        <v>1</v>
      </c>
      <c r="J96" s="46" t="s">
        <v>31</v>
      </c>
      <c r="K96" s="46" t="s">
        <v>31</v>
      </c>
      <c r="L96" s="46" t="s">
        <v>31</v>
      </c>
      <c r="M96" s="46" t="s">
        <v>31</v>
      </c>
      <c r="O96" s="375"/>
      <c r="P96" s="432"/>
    </row>
    <row r="97" spans="1:18">
      <c r="A97" s="338" t="s">
        <v>75</v>
      </c>
      <c r="B97" s="342">
        <f>R97</f>
        <v>0.05</v>
      </c>
      <c r="C97" s="46" t="s">
        <v>39</v>
      </c>
      <c r="D97" s="46" t="s">
        <v>40</v>
      </c>
      <c r="E97" s="46" t="s">
        <v>29</v>
      </c>
      <c r="F97" s="32" t="s">
        <v>35</v>
      </c>
      <c r="G97" s="46" t="s">
        <v>33</v>
      </c>
      <c r="H97" s="46">
        <v>2</v>
      </c>
      <c r="I97" s="46">
        <f t="shared" ref="I97" si="5">LN(B97)</f>
        <v>-2.9957322735539909</v>
      </c>
      <c r="J97" s="46">
        <v>7.2284161474004766E-2</v>
      </c>
      <c r="K97" s="46" t="s">
        <v>31</v>
      </c>
      <c r="L97" s="46" t="s">
        <v>31</v>
      </c>
      <c r="M97" s="46" t="s">
        <v>31</v>
      </c>
      <c r="O97" s="375" t="s">
        <v>216</v>
      </c>
      <c r="P97" s="432">
        <v>0.05</v>
      </c>
      <c r="Q97" s="46" t="s">
        <v>216</v>
      </c>
      <c r="R97" s="342">
        <f>P97</f>
        <v>0.05</v>
      </c>
    </row>
    <row r="98" spans="1:18" s="345" customFormat="1">
      <c r="A98" s="362" t="s">
        <v>5</v>
      </c>
      <c r="B98" s="148" t="s">
        <v>1258</v>
      </c>
      <c r="C98" s="364"/>
    </row>
    <row r="99" spans="1:18">
      <c r="A99" s="338" t="s">
        <v>7</v>
      </c>
      <c r="B99" s="46" t="s">
        <v>779</v>
      </c>
      <c r="C99" s="337"/>
    </row>
    <row r="100" spans="1:18">
      <c r="A100" s="416" t="s">
        <v>9</v>
      </c>
      <c r="B100" s="46" t="s">
        <v>1259</v>
      </c>
      <c r="C100" s="337"/>
    </row>
    <row r="101" spans="1:18" ht="15.75" customHeight="1">
      <c r="A101" s="338" t="s">
        <v>11</v>
      </c>
      <c r="B101" s="339" t="s">
        <v>789</v>
      </c>
    </row>
    <row r="102" spans="1:18">
      <c r="A102" s="338" t="s">
        <v>13</v>
      </c>
      <c r="B102" s="46" t="s">
        <v>14</v>
      </c>
    </row>
    <row r="103" spans="1:18">
      <c r="A103" s="338" t="s">
        <v>15</v>
      </c>
      <c r="B103" s="46">
        <v>1</v>
      </c>
    </row>
    <row r="104" spans="1:18">
      <c r="A104" s="338" t="s">
        <v>16</v>
      </c>
      <c r="B104" s="46" t="s">
        <v>17</v>
      </c>
    </row>
    <row r="105" spans="1:18">
      <c r="A105" s="338" t="s">
        <v>18</v>
      </c>
      <c r="B105" s="46" t="s">
        <v>18</v>
      </c>
    </row>
    <row r="106" spans="1:18">
      <c r="A106" s="335" t="s">
        <v>19</v>
      </c>
    </row>
    <row r="107" spans="1:18">
      <c r="A107" s="335" t="s">
        <v>20</v>
      </c>
      <c r="B107" s="336" t="s">
        <v>21</v>
      </c>
      <c r="C107" s="336" t="s">
        <v>18</v>
      </c>
      <c r="D107" s="336" t="s">
        <v>22</v>
      </c>
      <c r="E107" s="336" t="s">
        <v>7</v>
      </c>
      <c r="F107" s="336" t="s">
        <v>13</v>
      </c>
      <c r="G107" s="336" t="s">
        <v>16</v>
      </c>
      <c r="H107" s="336" t="s">
        <v>23</v>
      </c>
      <c r="I107" s="336" t="s">
        <v>24</v>
      </c>
      <c r="J107" s="336" t="s">
        <v>25</v>
      </c>
      <c r="K107" s="336" t="s">
        <v>26</v>
      </c>
      <c r="L107" s="336" t="s">
        <v>27</v>
      </c>
      <c r="M107" s="336" t="s">
        <v>28</v>
      </c>
      <c r="N107" s="336" t="s">
        <v>11</v>
      </c>
      <c r="Q107" s="367" t="s">
        <v>1179</v>
      </c>
    </row>
    <row r="108" spans="1:18">
      <c r="A108" s="47" t="s">
        <v>1258</v>
      </c>
      <c r="B108" s="46">
        <v>1</v>
      </c>
      <c r="C108" s="46" t="s">
        <v>18</v>
      </c>
      <c r="D108" s="46" t="s">
        <v>2</v>
      </c>
      <c r="E108" s="46" t="s">
        <v>29</v>
      </c>
      <c r="F108" s="32" t="s">
        <v>14</v>
      </c>
      <c r="G108" s="46" t="s">
        <v>30</v>
      </c>
      <c r="H108" s="46">
        <v>1</v>
      </c>
      <c r="I108" s="46">
        <v>1</v>
      </c>
      <c r="J108" s="46" t="s">
        <v>31</v>
      </c>
      <c r="K108" s="46" t="s">
        <v>31</v>
      </c>
      <c r="L108" s="46" t="s">
        <v>31</v>
      </c>
      <c r="M108" s="46" t="s">
        <v>31</v>
      </c>
      <c r="P108" s="460"/>
      <c r="Q108" s="46">
        <f>0.05/0.31</f>
        <v>0.16129032258064518</v>
      </c>
      <c r="R108" s="46" t="s">
        <v>832</v>
      </c>
    </row>
    <row r="109" spans="1:18">
      <c r="A109" s="338" t="s">
        <v>1260</v>
      </c>
      <c r="B109" s="433">
        <f>B133</f>
        <v>9.0999999999999998E-2</v>
      </c>
      <c r="C109" s="46" t="s">
        <v>113</v>
      </c>
      <c r="D109" s="46" t="s">
        <v>2</v>
      </c>
      <c r="E109" s="46" t="s">
        <v>29</v>
      </c>
      <c r="F109" s="32" t="s">
        <v>14</v>
      </c>
      <c r="G109" s="46" t="s">
        <v>33</v>
      </c>
      <c r="H109" s="46">
        <v>1</v>
      </c>
      <c r="I109" s="433">
        <f>B109</f>
        <v>9.0999999999999998E-2</v>
      </c>
      <c r="J109" s="46" t="s">
        <v>31</v>
      </c>
      <c r="K109" s="46" t="s">
        <v>31</v>
      </c>
      <c r="L109" s="46" t="s">
        <v>31</v>
      </c>
      <c r="M109" s="46" t="s">
        <v>31</v>
      </c>
      <c r="O109" s="401"/>
      <c r="P109" s="402"/>
      <c r="Q109" s="342"/>
    </row>
    <row r="110" spans="1:18">
      <c r="A110" s="46" t="s">
        <v>1212</v>
      </c>
      <c r="B110" s="384">
        <f>R110</f>
        <v>1.145161290322581E-2</v>
      </c>
      <c r="C110" s="373" t="s">
        <v>113</v>
      </c>
      <c r="D110" s="46" t="s">
        <v>2</v>
      </c>
      <c r="E110" s="46" t="s">
        <v>29</v>
      </c>
      <c r="F110" s="32" t="s">
        <v>14</v>
      </c>
      <c r="G110" s="46" t="s">
        <v>33</v>
      </c>
      <c r="H110" s="46">
        <v>1</v>
      </c>
      <c r="I110" s="433">
        <f t="shared" ref="I110:I111" si="6">B110</f>
        <v>1.145161290322581E-2</v>
      </c>
      <c r="J110" s="46" t="s">
        <v>31</v>
      </c>
      <c r="K110" s="46" t="s">
        <v>31</v>
      </c>
      <c r="L110" s="46" t="s">
        <v>31</v>
      </c>
      <c r="M110" s="46" t="s">
        <v>31</v>
      </c>
      <c r="O110" s="434" t="s">
        <v>575</v>
      </c>
      <c r="P110" s="447">
        <v>71</v>
      </c>
      <c r="R110" s="384">
        <f>P110*0.001*Q108</f>
        <v>1.145161290322581E-2</v>
      </c>
    </row>
    <row r="111" spans="1:18">
      <c r="A111" s="46" t="s">
        <v>1261</v>
      </c>
      <c r="B111" s="46">
        <v>1</v>
      </c>
      <c r="C111" s="46" t="s">
        <v>18</v>
      </c>
      <c r="D111" s="46" t="s">
        <v>2</v>
      </c>
      <c r="E111" s="46" t="s">
        <v>29</v>
      </c>
      <c r="F111" s="32" t="s">
        <v>14</v>
      </c>
      <c r="G111" s="46" t="s">
        <v>33</v>
      </c>
      <c r="H111" s="46">
        <v>1</v>
      </c>
      <c r="I111" s="433">
        <f t="shared" si="6"/>
        <v>1</v>
      </c>
      <c r="J111" s="46" t="s">
        <v>31</v>
      </c>
      <c r="K111" s="46" t="s">
        <v>31</v>
      </c>
      <c r="L111" s="46" t="s">
        <v>31</v>
      </c>
      <c r="M111" s="46" t="s">
        <v>31</v>
      </c>
      <c r="O111" s="401"/>
      <c r="P111" s="402"/>
    </row>
    <row r="112" spans="1:18" ht="15">
      <c r="A112" s="47" t="s">
        <v>601</v>
      </c>
      <c r="B112" s="384">
        <f>R112</f>
        <v>4.0999999999999999E-4</v>
      </c>
      <c r="C112" s="46" t="s">
        <v>37</v>
      </c>
      <c r="D112" s="46" t="s">
        <v>40</v>
      </c>
      <c r="E112" s="46" t="s">
        <v>29</v>
      </c>
      <c r="F112" s="32" t="s">
        <v>35</v>
      </c>
      <c r="G112" s="46" t="s">
        <v>33</v>
      </c>
      <c r="H112" s="46">
        <v>2</v>
      </c>
      <c r="I112" s="46">
        <f>LN(B112)</f>
        <v>-7.7993533982659207</v>
      </c>
      <c r="J112" s="46">
        <v>2.8722813232690055E-2</v>
      </c>
      <c r="K112" s="46" t="s">
        <v>31</v>
      </c>
      <c r="L112" s="46" t="s">
        <v>31</v>
      </c>
      <c r="M112" s="46" t="s">
        <v>31</v>
      </c>
      <c r="O112" s="434" t="s">
        <v>575</v>
      </c>
      <c r="P112" s="175">
        <v>0.41</v>
      </c>
      <c r="Q112" s="46" t="s">
        <v>221</v>
      </c>
      <c r="R112" s="384">
        <f>P112*10^-3</f>
        <v>4.0999999999999999E-4</v>
      </c>
    </row>
    <row r="113" spans="1:18" s="345" customFormat="1">
      <c r="A113" s="362" t="s">
        <v>5</v>
      </c>
      <c r="B113" s="363" t="s">
        <v>1261</v>
      </c>
      <c r="C113" s="364"/>
    </row>
    <row r="114" spans="1:18">
      <c r="A114" s="338" t="s">
        <v>7</v>
      </c>
      <c r="B114" s="46" t="s">
        <v>779</v>
      </c>
      <c r="C114" s="337"/>
    </row>
    <row r="115" spans="1:18">
      <c r="A115" s="416" t="s">
        <v>9</v>
      </c>
      <c r="B115" s="46" t="s">
        <v>1262</v>
      </c>
      <c r="C115" s="337"/>
    </row>
    <row r="116" spans="1:18" ht="15.75" customHeight="1">
      <c r="A116" s="338" t="s">
        <v>11</v>
      </c>
      <c r="B116" s="339" t="s">
        <v>789</v>
      </c>
    </row>
    <row r="117" spans="1:18">
      <c r="A117" s="338" t="s">
        <v>13</v>
      </c>
      <c r="B117" s="46" t="s">
        <v>14</v>
      </c>
    </row>
    <row r="118" spans="1:18">
      <c r="A118" s="338" t="s">
        <v>15</v>
      </c>
      <c r="B118" s="46">
        <v>1</v>
      </c>
    </row>
    <row r="119" spans="1:18">
      <c r="A119" s="338" t="s">
        <v>16</v>
      </c>
      <c r="B119" s="46" t="s">
        <v>17</v>
      </c>
    </row>
    <row r="120" spans="1:18">
      <c r="A120" s="338" t="s">
        <v>18</v>
      </c>
      <c r="B120" s="46" t="s">
        <v>18</v>
      </c>
    </row>
    <row r="121" spans="1:18">
      <c r="A121" s="335" t="s">
        <v>19</v>
      </c>
    </row>
    <row r="122" spans="1:18">
      <c r="A122" s="335" t="s">
        <v>20</v>
      </c>
      <c r="B122" s="336" t="s">
        <v>21</v>
      </c>
      <c r="C122" s="336" t="s">
        <v>18</v>
      </c>
      <c r="D122" s="336" t="s">
        <v>22</v>
      </c>
      <c r="E122" s="336" t="s">
        <v>7</v>
      </c>
      <c r="F122" s="336" t="s">
        <v>13</v>
      </c>
      <c r="G122" s="336" t="s">
        <v>16</v>
      </c>
      <c r="H122" s="336" t="s">
        <v>23</v>
      </c>
      <c r="I122" s="336" t="s">
        <v>24</v>
      </c>
      <c r="J122" s="336" t="s">
        <v>25</v>
      </c>
      <c r="K122" s="336" t="s">
        <v>26</v>
      </c>
      <c r="L122" s="336" t="s">
        <v>27</v>
      </c>
      <c r="M122" s="336" t="s">
        <v>28</v>
      </c>
      <c r="N122" s="336" t="s">
        <v>11</v>
      </c>
    </row>
    <row r="123" spans="1:18">
      <c r="A123" s="46" t="s">
        <v>1261</v>
      </c>
      <c r="B123" s="46">
        <v>1</v>
      </c>
      <c r="C123" s="46" t="s">
        <v>18</v>
      </c>
      <c r="D123" s="400" t="s">
        <v>2</v>
      </c>
      <c r="E123" s="46" t="s">
        <v>29</v>
      </c>
      <c r="F123" s="32" t="s">
        <v>14</v>
      </c>
      <c r="G123" s="46" t="s">
        <v>30</v>
      </c>
      <c r="H123" s="46">
        <v>1</v>
      </c>
      <c r="I123" s="46">
        <v>1</v>
      </c>
      <c r="J123" s="46" t="s">
        <v>31</v>
      </c>
      <c r="K123" s="46" t="s">
        <v>31</v>
      </c>
      <c r="L123" s="46" t="s">
        <v>31</v>
      </c>
      <c r="M123" s="46" t="s">
        <v>31</v>
      </c>
    </row>
    <row r="124" spans="1:18">
      <c r="A124" s="47" t="s">
        <v>610</v>
      </c>
      <c r="B124" s="46">
        <f>R124</f>
        <v>0.79</v>
      </c>
      <c r="C124" s="46" t="s">
        <v>37</v>
      </c>
      <c r="D124" s="46" t="s">
        <v>40</v>
      </c>
      <c r="E124" s="46" t="s">
        <v>29</v>
      </c>
      <c r="F124" s="46" t="s">
        <v>58</v>
      </c>
      <c r="G124" s="46" t="s">
        <v>33</v>
      </c>
      <c r="H124" s="46">
        <v>1</v>
      </c>
      <c r="I124" s="46">
        <f>B124</f>
        <v>0.79</v>
      </c>
      <c r="J124" s="46" t="s">
        <v>31</v>
      </c>
      <c r="K124" s="46" t="s">
        <v>31</v>
      </c>
      <c r="L124" s="46" t="s">
        <v>31</v>
      </c>
      <c r="M124" s="46" t="s">
        <v>31</v>
      </c>
      <c r="P124" s="46">
        <v>0.79</v>
      </c>
      <c r="Q124" s="46" t="s">
        <v>221</v>
      </c>
      <c r="R124" s="46">
        <f>P124</f>
        <v>0.79</v>
      </c>
    </row>
    <row r="125" spans="1:18" ht="15">
      <c r="A125" s="47" t="s">
        <v>908</v>
      </c>
      <c r="B125" s="46">
        <f t="shared" ref="B125:B127" si="7">R125</f>
        <v>0.52300000000000002</v>
      </c>
      <c r="C125" s="46" t="s">
        <v>37</v>
      </c>
      <c r="D125" s="46" t="s">
        <v>40</v>
      </c>
      <c r="E125" s="46" t="s">
        <v>29</v>
      </c>
      <c r="F125" s="46" t="s">
        <v>58</v>
      </c>
      <c r="G125" s="46" t="s">
        <v>33</v>
      </c>
      <c r="H125" s="46">
        <v>2</v>
      </c>
      <c r="I125" s="46">
        <f>LN(B125)</f>
        <v>-0.64817381491721415</v>
      </c>
      <c r="J125" s="46">
        <v>3.7749172176353707E-2</v>
      </c>
      <c r="K125" s="46" t="s">
        <v>31</v>
      </c>
      <c r="L125" s="46" t="s">
        <v>31</v>
      </c>
      <c r="M125" s="46" t="s">
        <v>31</v>
      </c>
      <c r="O125" s="393" t="s">
        <v>575</v>
      </c>
      <c r="P125" s="120">
        <v>523</v>
      </c>
      <c r="Q125" s="46" t="s">
        <v>221</v>
      </c>
      <c r="R125" s="46">
        <f>P125*0.001</f>
        <v>0.52300000000000002</v>
      </c>
    </row>
    <row r="126" spans="1:18" ht="15">
      <c r="A126" s="47" t="s">
        <v>909</v>
      </c>
      <c r="B126" s="46">
        <f t="shared" si="7"/>
        <v>3.1199999999999999E-2</v>
      </c>
      <c r="C126" s="46" t="s">
        <v>37</v>
      </c>
      <c r="D126" s="46" t="s">
        <v>40</v>
      </c>
      <c r="E126" s="46" t="s">
        <v>29</v>
      </c>
      <c r="F126" s="46" t="s">
        <v>58</v>
      </c>
      <c r="G126" s="46" t="s">
        <v>33</v>
      </c>
      <c r="H126" s="46">
        <v>2</v>
      </c>
      <c r="I126" s="46">
        <f>LN(B126)</f>
        <v>-3.4673371841667002</v>
      </c>
      <c r="J126" s="46">
        <v>3.7749172176353707E-2</v>
      </c>
      <c r="K126" s="46" t="s">
        <v>31</v>
      </c>
      <c r="L126" s="46" t="s">
        <v>31</v>
      </c>
      <c r="M126" s="46" t="s">
        <v>31</v>
      </c>
      <c r="O126" s="393" t="s">
        <v>575</v>
      </c>
      <c r="P126" s="120">
        <v>31.2</v>
      </c>
      <c r="Q126" s="46" t="s">
        <v>221</v>
      </c>
      <c r="R126" s="46">
        <f t="shared" ref="R126:R127" si="8">P126*0.001</f>
        <v>3.1199999999999999E-2</v>
      </c>
    </row>
    <row r="127" spans="1:18" ht="15">
      <c r="A127" s="47" t="s">
        <v>910</v>
      </c>
      <c r="B127" s="46">
        <f t="shared" si="7"/>
        <v>0.23600000000000002</v>
      </c>
      <c r="C127" s="46" t="s">
        <v>37</v>
      </c>
      <c r="D127" s="46" t="s">
        <v>40</v>
      </c>
      <c r="E127" s="46" t="s">
        <v>29</v>
      </c>
      <c r="F127" s="46" t="s">
        <v>58</v>
      </c>
      <c r="G127" s="46" t="s">
        <v>33</v>
      </c>
      <c r="H127" s="46">
        <v>2</v>
      </c>
      <c r="I127" s="46">
        <f>LN(B127)</f>
        <v>-1.443923473956527</v>
      </c>
      <c r="J127" s="46">
        <v>3.7749172176353707E-2</v>
      </c>
      <c r="K127" s="46" t="s">
        <v>31</v>
      </c>
      <c r="L127" s="46" t="s">
        <v>31</v>
      </c>
      <c r="M127" s="46" t="s">
        <v>31</v>
      </c>
      <c r="O127" s="393" t="s">
        <v>575</v>
      </c>
      <c r="P127" s="120">
        <v>236</v>
      </c>
      <c r="Q127" s="46" t="s">
        <v>221</v>
      </c>
      <c r="R127" s="46">
        <f t="shared" si="8"/>
        <v>0.23600000000000002</v>
      </c>
    </row>
    <row r="128" spans="1:18" s="345" customFormat="1">
      <c r="A128" s="362" t="s">
        <v>5</v>
      </c>
      <c r="B128" s="148" t="s">
        <v>1260</v>
      </c>
      <c r="C128" s="364"/>
    </row>
    <row r="129" spans="1:18">
      <c r="A129" s="338" t="s">
        <v>7</v>
      </c>
      <c r="B129" s="46" t="s">
        <v>779</v>
      </c>
      <c r="C129" s="337"/>
    </row>
    <row r="130" spans="1:18">
      <c r="A130" s="416" t="s">
        <v>9</v>
      </c>
      <c r="B130" s="46" t="s">
        <v>1263</v>
      </c>
      <c r="C130" s="337"/>
    </row>
    <row r="131" spans="1:18" ht="15.75" customHeight="1">
      <c r="A131" s="338" t="s">
        <v>11</v>
      </c>
      <c r="B131" s="339" t="s">
        <v>789</v>
      </c>
    </row>
    <row r="132" spans="1:18">
      <c r="A132" s="338" t="s">
        <v>13</v>
      </c>
      <c r="B132" s="46" t="s">
        <v>14</v>
      </c>
    </row>
    <row r="133" spans="1:18">
      <c r="A133" s="338" t="s">
        <v>15</v>
      </c>
      <c r="B133" s="417">
        <f>B138</f>
        <v>9.0999999999999998E-2</v>
      </c>
    </row>
    <row r="134" spans="1:18">
      <c r="A134" s="338" t="s">
        <v>16</v>
      </c>
      <c r="B134" s="46" t="s">
        <v>17</v>
      </c>
    </row>
    <row r="135" spans="1:18">
      <c r="A135" s="338" t="s">
        <v>18</v>
      </c>
      <c r="B135" s="46" t="s">
        <v>113</v>
      </c>
    </row>
    <row r="136" spans="1:18">
      <c r="A136" s="335" t="s">
        <v>19</v>
      </c>
    </row>
    <row r="137" spans="1:18">
      <c r="A137" s="336" t="s">
        <v>20</v>
      </c>
      <c r="B137" s="336" t="s">
        <v>21</v>
      </c>
      <c r="C137" s="336" t="s">
        <v>18</v>
      </c>
      <c r="D137" s="336" t="s">
        <v>22</v>
      </c>
      <c r="E137" s="336" t="s">
        <v>7</v>
      </c>
      <c r="F137" s="336" t="s">
        <v>13</v>
      </c>
      <c r="G137" s="336" t="s">
        <v>16</v>
      </c>
      <c r="H137" s="336" t="s">
        <v>23</v>
      </c>
      <c r="I137" s="336" t="s">
        <v>24</v>
      </c>
      <c r="J137" s="336" t="s">
        <v>25</v>
      </c>
      <c r="K137" s="336" t="s">
        <v>26</v>
      </c>
      <c r="L137" s="336" t="s">
        <v>27</v>
      </c>
      <c r="M137" s="336" t="s">
        <v>28</v>
      </c>
      <c r="N137" s="336" t="s">
        <v>11</v>
      </c>
    </row>
    <row r="138" spans="1:18" ht="15">
      <c r="A138" s="46" t="s">
        <v>1260</v>
      </c>
      <c r="B138" s="417">
        <f>P138</f>
        <v>9.0999999999999998E-2</v>
      </c>
      <c r="C138" s="46" t="s">
        <v>113</v>
      </c>
      <c r="D138" s="400" t="s">
        <v>2</v>
      </c>
      <c r="E138" s="46" t="s">
        <v>29</v>
      </c>
      <c r="F138" s="32" t="s">
        <v>14</v>
      </c>
      <c r="G138" s="46" t="s">
        <v>30</v>
      </c>
      <c r="H138" s="46">
        <v>1</v>
      </c>
      <c r="I138" s="433">
        <f>B138</f>
        <v>9.0999999999999998E-2</v>
      </c>
      <c r="J138" s="46" t="s">
        <v>31</v>
      </c>
      <c r="K138" s="46" t="s">
        <v>31</v>
      </c>
      <c r="L138" s="46" t="s">
        <v>31</v>
      </c>
      <c r="M138" s="46" t="s">
        <v>31</v>
      </c>
      <c r="O138" s="401"/>
      <c r="P138" s="184">
        <v>9.0999999999999998E-2</v>
      </c>
      <c r="Q138" s="342"/>
    </row>
    <row r="139" spans="1:18" ht="15">
      <c r="A139" s="62" t="s">
        <v>1264</v>
      </c>
      <c r="B139" s="417">
        <f>P139</f>
        <v>9.0999999999999998E-2</v>
      </c>
      <c r="C139" s="46" t="s">
        <v>113</v>
      </c>
      <c r="D139" s="400" t="s">
        <v>2</v>
      </c>
      <c r="E139" s="46" t="s">
        <v>29</v>
      </c>
      <c r="F139" s="32" t="s">
        <v>14</v>
      </c>
      <c r="G139" s="46" t="s">
        <v>33</v>
      </c>
      <c r="H139" s="46">
        <v>1</v>
      </c>
      <c r="I139" s="433">
        <f>B139</f>
        <v>9.0999999999999998E-2</v>
      </c>
      <c r="J139" s="46" t="s">
        <v>31</v>
      </c>
      <c r="K139" s="46" t="s">
        <v>31</v>
      </c>
      <c r="L139" s="46" t="s">
        <v>31</v>
      </c>
      <c r="M139" s="46" t="s">
        <v>31</v>
      </c>
      <c r="P139" s="184">
        <v>9.0999999999999998E-2</v>
      </c>
    </row>
    <row r="140" spans="1:18">
      <c r="A140" s="47" t="s">
        <v>683</v>
      </c>
      <c r="B140" s="46">
        <f>R140</f>
        <v>8.199999999999999E-3</v>
      </c>
      <c r="C140" s="46" t="s">
        <v>37</v>
      </c>
      <c r="D140" s="46" t="s">
        <v>40</v>
      </c>
      <c r="E140" s="46" t="s">
        <v>29</v>
      </c>
      <c r="F140" s="46" t="s">
        <v>35</v>
      </c>
      <c r="G140" s="46" t="s">
        <v>33</v>
      </c>
      <c r="H140" s="46">
        <v>2</v>
      </c>
      <c r="I140" s="46">
        <f>LN(B140)</f>
        <v>-4.8036211247119294</v>
      </c>
      <c r="J140" s="46">
        <v>0.20928449536456342</v>
      </c>
      <c r="K140" s="46" t="s">
        <v>31</v>
      </c>
      <c r="L140" s="46" t="s">
        <v>31</v>
      </c>
      <c r="M140" s="46" t="s">
        <v>31</v>
      </c>
      <c r="O140" s="393" t="s">
        <v>575</v>
      </c>
      <c r="P140" s="406">
        <v>8.1999999999999993</v>
      </c>
      <c r="Q140" s="46" t="s">
        <v>221</v>
      </c>
      <c r="R140" s="46">
        <f>0.001*P140</f>
        <v>8.199999999999999E-3</v>
      </c>
    </row>
    <row r="141" spans="1:18">
      <c r="A141" s="47" t="s">
        <v>530</v>
      </c>
      <c r="B141" s="46">
        <f>R141</f>
        <v>8.199999999999999E-3</v>
      </c>
      <c r="C141" s="46" t="s">
        <v>37</v>
      </c>
      <c r="D141" s="46" t="s">
        <v>40</v>
      </c>
      <c r="E141" s="46" t="s">
        <v>29</v>
      </c>
      <c r="F141" s="46" t="s">
        <v>35</v>
      </c>
      <c r="G141" s="46" t="s">
        <v>33</v>
      </c>
      <c r="H141" s="46">
        <v>2</v>
      </c>
      <c r="I141" s="46">
        <f>LN(B141)</f>
        <v>-4.8036211247119294</v>
      </c>
      <c r="J141" s="46">
        <v>0.20928449536456342</v>
      </c>
      <c r="K141" s="46" t="s">
        <v>31</v>
      </c>
      <c r="L141" s="46" t="s">
        <v>31</v>
      </c>
      <c r="M141" s="46" t="s">
        <v>31</v>
      </c>
      <c r="O141" s="393" t="s">
        <v>575</v>
      </c>
      <c r="P141" s="406">
        <v>8.1999999999999993</v>
      </c>
      <c r="Q141" s="46" t="s">
        <v>221</v>
      </c>
      <c r="R141" s="46">
        <f>0.001*P141</f>
        <v>8.199999999999999E-3</v>
      </c>
    </row>
    <row r="142" spans="1:18" s="345" customFormat="1">
      <c r="A142" s="362" t="s">
        <v>5</v>
      </c>
      <c r="B142" s="438" t="s">
        <v>1264</v>
      </c>
      <c r="C142" s="364"/>
    </row>
    <row r="143" spans="1:18">
      <c r="A143" s="338" t="s">
        <v>7</v>
      </c>
      <c r="B143" s="46" t="s">
        <v>779</v>
      </c>
      <c r="C143" s="337"/>
    </row>
    <row r="144" spans="1:18">
      <c r="A144" s="416" t="s">
        <v>9</v>
      </c>
      <c r="B144" s="46" t="s">
        <v>1265</v>
      </c>
      <c r="C144" s="337"/>
    </row>
    <row r="145" spans="1:18" ht="15.75" customHeight="1">
      <c r="A145" s="338" t="s">
        <v>11</v>
      </c>
      <c r="B145" s="339" t="s">
        <v>789</v>
      </c>
    </row>
    <row r="146" spans="1:18">
      <c r="A146" s="338" t="s">
        <v>13</v>
      </c>
      <c r="B146" s="46" t="s">
        <v>14</v>
      </c>
    </row>
    <row r="147" spans="1:18">
      <c r="A147" s="338" t="s">
        <v>15</v>
      </c>
      <c r="B147" s="417">
        <f>B152</f>
        <v>9.0999999999999998E-2</v>
      </c>
    </row>
    <row r="148" spans="1:18">
      <c r="A148" s="338" t="s">
        <v>16</v>
      </c>
      <c r="B148" s="46" t="s">
        <v>17</v>
      </c>
    </row>
    <row r="149" spans="1:18">
      <c r="A149" s="338" t="s">
        <v>18</v>
      </c>
      <c r="B149" s="46" t="s">
        <v>113</v>
      </c>
    </row>
    <row r="150" spans="1:18">
      <c r="A150" s="335" t="s">
        <v>19</v>
      </c>
    </row>
    <row r="151" spans="1:18">
      <c r="A151" s="336" t="s">
        <v>20</v>
      </c>
      <c r="B151" s="336" t="s">
        <v>21</v>
      </c>
      <c r="C151" s="336" t="s">
        <v>18</v>
      </c>
      <c r="D151" s="336" t="s">
        <v>22</v>
      </c>
      <c r="E151" s="336" t="s">
        <v>7</v>
      </c>
      <c r="F151" s="336" t="s">
        <v>13</v>
      </c>
      <c r="G151" s="336" t="s">
        <v>16</v>
      </c>
      <c r="H151" s="336" t="s">
        <v>23</v>
      </c>
      <c r="I151" s="336" t="s">
        <v>24</v>
      </c>
      <c r="J151" s="336" t="s">
        <v>25</v>
      </c>
      <c r="K151" s="336" t="s">
        <v>26</v>
      </c>
      <c r="L151" s="336" t="s">
        <v>27</v>
      </c>
      <c r="M151" s="336" t="s">
        <v>28</v>
      </c>
      <c r="N151" s="336" t="s">
        <v>11</v>
      </c>
    </row>
    <row r="152" spans="1:18" ht="15">
      <c r="A152" s="62" t="s">
        <v>1264</v>
      </c>
      <c r="B152" s="437">
        <f>P152</f>
        <v>9.0999999999999998E-2</v>
      </c>
      <c r="C152" s="46" t="s">
        <v>113</v>
      </c>
      <c r="D152" s="400" t="s">
        <v>2</v>
      </c>
      <c r="E152" s="46" t="s">
        <v>29</v>
      </c>
      <c r="F152" s="32" t="s">
        <v>14</v>
      </c>
      <c r="G152" s="46" t="s">
        <v>30</v>
      </c>
      <c r="H152" s="46">
        <v>1</v>
      </c>
      <c r="I152" s="433">
        <f>B152</f>
        <v>9.0999999999999998E-2</v>
      </c>
      <c r="J152" s="46" t="s">
        <v>31</v>
      </c>
      <c r="K152" s="46" t="s">
        <v>31</v>
      </c>
      <c r="L152" s="46" t="s">
        <v>31</v>
      </c>
      <c r="M152" s="46" t="s">
        <v>31</v>
      </c>
      <c r="O152" s="463" t="s">
        <v>605</v>
      </c>
      <c r="P152" s="184">
        <v>9.0999999999999998E-2</v>
      </c>
    </row>
    <row r="153" spans="1:18" ht="15">
      <c r="A153" s="46" t="s">
        <v>1266</v>
      </c>
      <c r="B153" s="437">
        <f t="shared" ref="B153:B156" si="9">P153</f>
        <v>2.8000000000000001E-2</v>
      </c>
      <c r="C153" s="46" t="s">
        <v>113</v>
      </c>
      <c r="D153" s="400" t="s">
        <v>2</v>
      </c>
      <c r="E153" s="46" t="s">
        <v>29</v>
      </c>
      <c r="F153" s="32" t="s">
        <v>14</v>
      </c>
      <c r="G153" s="46" t="s">
        <v>33</v>
      </c>
      <c r="H153" s="46">
        <v>1</v>
      </c>
      <c r="I153" s="433">
        <f t="shared" ref="I153:I154" si="10">B153</f>
        <v>2.8000000000000001E-2</v>
      </c>
      <c r="J153" s="46" t="s">
        <v>31</v>
      </c>
      <c r="K153" s="46" t="s">
        <v>31</v>
      </c>
      <c r="L153" s="46" t="s">
        <v>31</v>
      </c>
      <c r="M153" s="46" t="s">
        <v>31</v>
      </c>
      <c r="O153" s="463" t="s">
        <v>817</v>
      </c>
      <c r="P153" s="188">
        <v>2.8000000000000001E-2</v>
      </c>
    </row>
    <row r="154" spans="1:18" ht="15">
      <c r="A154" s="46" t="s">
        <v>1267</v>
      </c>
      <c r="B154" s="437">
        <f t="shared" si="9"/>
        <v>9.0999999999999998E-2</v>
      </c>
      <c r="C154" s="46" t="s">
        <v>113</v>
      </c>
      <c r="D154" s="400" t="s">
        <v>2</v>
      </c>
      <c r="E154" s="46" t="s">
        <v>29</v>
      </c>
      <c r="F154" s="32" t="s">
        <v>14</v>
      </c>
      <c r="G154" s="46" t="s">
        <v>33</v>
      </c>
      <c r="H154" s="46">
        <v>1</v>
      </c>
      <c r="I154" s="433">
        <f t="shared" si="10"/>
        <v>9.0999999999999998E-2</v>
      </c>
      <c r="J154" s="46" t="s">
        <v>31</v>
      </c>
      <c r="K154" s="46" t="s">
        <v>31</v>
      </c>
      <c r="L154" s="46" t="s">
        <v>31</v>
      </c>
      <c r="M154" s="46" t="s">
        <v>31</v>
      </c>
      <c r="O154" s="392" t="s">
        <v>817</v>
      </c>
      <c r="P154" s="184">
        <v>9.0999999999999998E-2</v>
      </c>
    </row>
    <row r="155" spans="1:18">
      <c r="A155" s="338" t="s">
        <v>75</v>
      </c>
      <c r="B155" s="437">
        <f t="shared" si="9"/>
        <v>2.1800000000000002</v>
      </c>
      <c r="C155" s="46" t="s">
        <v>39</v>
      </c>
      <c r="D155" s="46" t="s">
        <v>40</v>
      </c>
      <c r="E155" s="46" t="s">
        <v>29</v>
      </c>
      <c r="F155" s="32" t="s">
        <v>35</v>
      </c>
      <c r="G155" s="46" t="s">
        <v>33</v>
      </c>
      <c r="H155" s="46">
        <v>2</v>
      </c>
      <c r="I155" s="46">
        <f t="shared" ref="I155:I156" si="11">LN(B155)</f>
        <v>0.77932487680099771</v>
      </c>
      <c r="J155" s="46">
        <v>9.7082439194738052E-2</v>
      </c>
      <c r="K155" s="46" t="s">
        <v>31</v>
      </c>
      <c r="L155" s="46" t="s">
        <v>31</v>
      </c>
      <c r="M155" s="46" t="s">
        <v>31</v>
      </c>
      <c r="O155" s="393" t="s">
        <v>216</v>
      </c>
      <c r="P155" s="406">
        <v>2.1800000000000002</v>
      </c>
      <c r="Q155" s="46" t="s">
        <v>216</v>
      </c>
      <c r="R155" s="342">
        <f>P155</f>
        <v>2.1800000000000002</v>
      </c>
    </row>
    <row r="156" spans="1:18">
      <c r="A156" s="338" t="s">
        <v>480</v>
      </c>
      <c r="B156" s="437">
        <f t="shared" si="9"/>
        <v>5.8</v>
      </c>
      <c r="C156" s="46" t="s">
        <v>37</v>
      </c>
      <c r="D156" s="46" t="s">
        <v>40</v>
      </c>
      <c r="E156" s="46" t="s">
        <v>29</v>
      </c>
      <c r="F156" s="32" t="s">
        <v>35</v>
      </c>
      <c r="G156" s="46" t="s">
        <v>33</v>
      </c>
      <c r="H156" s="46">
        <v>2</v>
      </c>
      <c r="I156" s="46">
        <f t="shared" si="11"/>
        <v>1.7578579175523736</v>
      </c>
      <c r="J156" s="46">
        <v>9.7082439194738052E-2</v>
      </c>
      <c r="K156" s="46" t="s">
        <v>31</v>
      </c>
      <c r="L156" s="46" t="s">
        <v>31</v>
      </c>
      <c r="M156" s="46" t="s">
        <v>31</v>
      </c>
      <c r="O156" s="393" t="s">
        <v>221</v>
      </c>
      <c r="P156" s="406">
        <v>5.8</v>
      </c>
    </row>
    <row r="157" spans="1:18" s="345" customFormat="1">
      <c r="A157" s="362" t="s">
        <v>5</v>
      </c>
      <c r="B157" s="363" t="s">
        <v>1267</v>
      </c>
      <c r="C157" s="364"/>
    </row>
    <row r="158" spans="1:18">
      <c r="A158" s="338" t="s">
        <v>7</v>
      </c>
      <c r="B158" s="46" t="s">
        <v>779</v>
      </c>
      <c r="C158" s="337"/>
    </row>
    <row r="159" spans="1:18">
      <c r="A159" s="416" t="s">
        <v>9</v>
      </c>
      <c r="B159" s="46" t="s">
        <v>1268</v>
      </c>
      <c r="C159" s="337"/>
    </row>
    <row r="160" spans="1:18" ht="15.75" customHeight="1">
      <c r="A160" s="338" t="s">
        <v>11</v>
      </c>
      <c r="B160" s="339" t="s">
        <v>789</v>
      </c>
    </row>
    <row r="161" spans="1:18">
      <c r="A161" s="338" t="s">
        <v>13</v>
      </c>
      <c r="B161" s="46" t="s">
        <v>14</v>
      </c>
    </row>
    <row r="162" spans="1:18">
      <c r="A162" s="338" t="s">
        <v>15</v>
      </c>
      <c r="B162" s="437">
        <f>B167</f>
        <v>9.0999999999999998E-2</v>
      </c>
    </row>
    <row r="163" spans="1:18">
      <c r="A163" s="338" t="s">
        <v>16</v>
      </c>
      <c r="B163" s="46" t="s">
        <v>17</v>
      </c>
    </row>
    <row r="164" spans="1:18">
      <c r="A164" s="338" t="s">
        <v>18</v>
      </c>
      <c r="B164" s="46" t="s">
        <v>113</v>
      </c>
    </row>
    <row r="165" spans="1:18">
      <c r="A165" s="335" t="s">
        <v>19</v>
      </c>
    </row>
    <row r="166" spans="1:18">
      <c r="A166" s="336" t="s">
        <v>20</v>
      </c>
      <c r="B166" s="336" t="s">
        <v>21</v>
      </c>
      <c r="C166" s="336" t="s">
        <v>18</v>
      </c>
      <c r="D166" s="336" t="s">
        <v>22</v>
      </c>
      <c r="E166" s="336" t="s">
        <v>7</v>
      </c>
      <c r="F166" s="336" t="s">
        <v>13</v>
      </c>
      <c r="G166" s="336" t="s">
        <v>16</v>
      </c>
      <c r="H166" s="336" t="s">
        <v>23</v>
      </c>
      <c r="I166" s="336" t="s">
        <v>24</v>
      </c>
      <c r="J166" s="336" t="s">
        <v>25</v>
      </c>
      <c r="K166" s="336" t="s">
        <v>26</v>
      </c>
      <c r="L166" s="336" t="s">
        <v>27</v>
      </c>
      <c r="M166" s="336" t="s">
        <v>28</v>
      </c>
      <c r="N166" s="336" t="s">
        <v>11</v>
      </c>
    </row>
    <row r="167" spans="1:18">
      <c r="A167" s="46" t="s">
        <v>1267</v>
      </c>
      <c r="B167" s="407">
        <f>P167</f>
        <v>9.0999999999999998E-2</v>
      </c>
      <c r="C167" s="46" t="s">
        <v>113</v>
      </c>
      <c r="D167" s="400" t="s">
        <v>2</v>
      </c>
      <c r="E167" s="46" t="s">
        <v>29</v>
      </c>
      <c r="F167" s="32" t="s">
        <v>14</v>
      </c>
      <c r="G167" s="46" t="s">
        <v>30</v>
      </c>
      <c r="H167" s="46">
        <v>1</v>
      </c>
      <c r="I167" s="407">
        <f>B167</f>
        <v>9.0999999999999998E-2</v>
      </c>
      <c r="J167" s="46" t="s">
        <v>31</v>
      </c>
      <c r="K167" s="46" t="s">
        <v>31</v>
      </c>
      <c r="L167" s="46" t="s">
        <v>31</v>
      </c>
      <c r="M167" s="46" t="s">
        <v>31</v>
      </c>
      <c r="P167" s="446">
        <v>9.0999999999999998E-2</v>
      </c>
    </row>
    <row r="168" spans="1:18">
      <c r="A168" s="62" t="s">
        <v>1269</v>
      </c>
      <c r="B168" s="407">
        <f>P168</f>
        <v>9.0999999999999998E-2</v>
      </c>
      <c r="C168" s="46" t="s">
        <v>113</v>
      </c>
      <c r="D168" s="400" t="s">
        <v>2</v>
      </c>
      <c r="E168" s="46" t="s">
        <v>29</v>
      </c>
      <c r="F168" s="32" t="s">
        <v>14</v>
      </c>
      <c r="G168" s="46" t="s">
        <v>33</v>
      </c>
      <c r="H168" s="46">
        <v>1</v>
      </c>
      <c r="I168" s="407">
        <f>B168</f>
        <v>9.0999999999999998E-2</v>
      </c>
      <c r="J168" s="46" t="s">
        <v>31</v>
      </c>
      <c r="K168" s="46" t="s">
        <v>31</v>
      </c>
      <c r="L168" s="46" t="s">
        <v>31</v>
      </c>
      <c r="M168" s="46" t="s">
        <v>31</v>
      </c>
      <c r="P168" s="446">
        <v>9.0999999999999998E-2</v>
      </c>
    </row>
    <row r="169" spans="1:18">
      <c r="A169" s="338" t="s">
        <v>75</v>
      </c>
      <c r="B169" s="342">
        <f>R169</f>
        <v>0.25</v>
      </c>
      <c r="C169" s="46" t="s">
        <v>39</v>
      </c>
      <c r="D169" s="46" t="s">
        <v>40</v>
      </c>
      <c r="E169" s="46" t="s">
        <v>29</v>
      </c>
      <c r="F169" s="32" t="s">
        <v>35</v>
      </c>
      <c r="G169" s="46" t="s">
        <v>33</v>
      </c>
      <c r="H169" s="46">
        <v>2</v>
      </c>
      <c r="I169" s="46">
        <f t="shared" ref="I169:I173" si="12">LN(B169)</f>
        <v>-1.3862943611198906</v>
      </c>
      <c r="J169" s="46">
        <v>0.20928449536456342</v>
      </c>
      <c r="K169" s="46" t="s">
        <v>31</v>
      </c>
      <c r="L169" s="46" t="s">
        <v>31</v>
      </c>
      <c r="M169" s="46" t="s">
        <v>31</v>
      </c>
      <c r="O169" s="375" t="s">
        <v>216</v>
      </c>
      <c r="P169" s="406">
        <v>0.25</v>
      </c>
      <c r="Q169" s="46" t="s">
        <v>216</v>
      </c>
      <c r="R169" s="342">
        <f>P169</f>
        <v>0.25</v>
      </c>
    </row>
    <row r="170" spans="1:18">
      <c r="A170" s="47" t="s">
        <v>791</v>
      </c>
      <c r="B170" s="46">
        <f>R170</f>
        <v>7.7000000000000002E-3</v>
      </c>
      <c r="C170" s="46" t="s">
        <v>37</v>
      </c>
      <c r="D170" s="46" t="s">
        <v>40</v>
      </c>
      <c r="E170" s="46" t="s">
        <v>29</v>
      </c>
      <c r="F170" s="32" t="s">
        <v>35</v>
      </c>
      <c r="G170" s="46" t="s">
        <v>33</v>
      </c>
      <c r="H170" s="46">
        <v>2</v>
      </c>
      <c r="I170" s="46">
        <f t="shared" si="12"/>
        <v>-4.8665349501224986</v>
      </c>
      <c r="J170" s="46">
        <v>0.20928449536456342</v>
      </c>
      <c r="K170" s="46" t="s">
        <v>31</v>
      </c>
      <c r="L170" s="46" t="s">
        <v>31</v>
      </c>
      <c r="M170" s="46" t="s">
        <v>31</v>
      </c>
      <c r="O170" s="393" t="s">
        <v>575</v>
      </c>
      <c r="P170" s="406">
        <v>7.7</v>
      </c>
      <c r="Q170" s="46" t="s">
        <v>221</v>
      </c>
      <c r="R170" s="46">
        <f>0.001*P170</f>
        <v>7.7000000000000002E-3</v>
      </c>
    </row>
    <row r="171" spans="1:18">
      <c r="A171" s="47" t="s">
        <v>546</v>
      </c>
      <c r="B171" s="46">
        <f>R171</f>
        <v>1.1999999999999999E-3</v>
      </c>
      <c r="C171" s="46" t="s">
        <v>37</v>
      </c>
      <c r="D171" s="46" t="s">
        <v>40</v>
      </c>
      <c r="E171" s="46" t="s">
        <v>29</v>
      </c>
      <c r="F171" s="32" t="s">
        <v>58</v>
      </c>
      <c r="G171" s="46" t="s">
        <v>33</v>
      </c>
      <c r="H171" s="46">
        <v>2</v>
      </c>
      <c r="I171" s="46">
        <f t="shared" si="12"/>
        <v>-6.7254337221881828</v>
      </c>
      <c r="J171" s="46">
        <v>0.20928449536456342</v>
      </c>
      <c r="K171" s="46" t="s">
        <v>31</v>
      </c>
      <c r="L171" s="46" t="s">
        <v>31</v>
      </c>
      <c r="M171" s="46" t="s">
        <v>31</v>
      </c>
      <c r="O171" s="393" t="s">
        <v>575</v>
      </c>
      <c r="P171" s="406">
        <v>1.2</v>
      </c>
      <c r="Q171" s="46" t="s">
        <v>221</v>
      </c>
      <c r="R171" s="46">
        <f t="shared" ref="R171:R173" si="13">0.001*P171</f>
        <v>1.1999999999999999E-3</v>
      </c>
    </row>
    <row r="172" spans="1:18">
      <c r="A172" s="338" t="s">
        <v>792</v>
      </c>
      <c r="B172" s="46">
        <f>R172</f>
        <v>3.7999999999999999E-2</v>
      </c>
      <c r="C172" s="46" t="s">
        <v>37</v>
      </c>
      <c r="D172" s="46" t="s">
        <v>40</v>
      </c>
      <c r="E172" s="46" t="s">
        <v>29</v>
      </c>
      <c r="F172" s="32" t="s">
        <v>741</v>
      </c>
      <c r="G172" s="46" t="s">
        <v>33</v>
      </c>
      <c r="H172" s="46">
        <v>2</v>
      </c>
      <c r="I172" s="46">
        <f t="shared" si="12"/>
        <v>-3.2701691192557512</v>
      </c>
      <c r="J172" s="46">
        <v>0.20928449536456342</v>
      </c>
      <c r="K172" s="46" t="s">
        <v>31</v>
      </c>
      <c r="L172" s="46" t="s">
        <v>31</v>
      </c>
      <c r="M172" s="46" t="s">
        <v>31</v>
      </c>
      <c r="O172" s="393" t="s">
        <v>575</v>
      </c>
      <c r="P172" s="406">
        <v>38</v>
      </c>
      <c r="Q172" s="46" t="s">
        <v>221</v>
      </c>
      <c r="R172" s="46">
        <f t="shared" si="13"/>
        <v>3.7999999999999999E-2</v>
      </c>
    </row>
    <row r="173" spans="1:18">
      <c r="A173" s="46" t="s">
        <v>777</v>
      </c>
      <c r="B173" s="46">
        <f>R173</f>
        <v>8.8999999999999999E-3</v>
      </c>
      <c r="C173" s="46" t="s">
        <v>37</v>
      </c>
      <c r="D173" s="400" t="s">
        <v>2</v>
      </c>
      <c r="E173" s="46" t="s">
        <v>29</v>
      </c>
      <c r="F173" s="32" t="s">
        <v>741</v>
      </c>
      <c r="G173" s="46" t="s">
        <v>33</v>
      </c>
      <c r="H173" s="46">
        <v>2</v>
      </c>
      <c r="I173" s="46">
        <f t="shared" si="12"/>
        <v>-4.7217040022440431</v>
      </c>
      <c r="J173" s="46">
        <v>0.20928449536456342</v>
      </c>
      <c r="K173" s="46" t="s">
        <v>31</v>
      </c>
      <c r="L173" s="46" t="s">
        <v>31</v>
      </c>
      <c r="M173" s="46" t="s">
        <v>31</v>
      </c>
      <c r="O173" s="439" t="s">
        <v>575</v>
      </c>
      <c r="P173" s="411">
        <v>8.9</v>
      </c>
      <c r="Q173" s="46" t="s">
        <v>221</v>
      </c>
      <c r="R173" s="46">
        <f t="shared" si="13"/>
        <v>8.8999999999999999E-3</v>
      </c>
    </row>
    <row r="174" spans="1:18" s="345" customFormat="1">
      <c r="A174" s="362" t="s">
        <v>5</v>
      </c>
      <c r="B174" s="363" t="s">
        <v>1269</v>
      </c>
      <c r="C174" s="364"/>
    </row>
    <row r="175" spans="1:18">
      <c r="A175" s="338" t="s">
        <v>7</v>
      </c>
      <c r="B175" s="46" t="s">
        <v>779</v>
      </c>
      <c r="C175" s="337"/>
    </row>
    <row r="176" spans="1:18">
      <c r="A176" s="416" t="s">
        <v>9</v>
      </c>
      <c r="B176" s="46" t="s">
        <v>1270</v>
      </c>
      <c r="C176" s="337"/>
    </row>
    <row r="177" spans="1:18" ht="15.75" customHeight="1">
      <c r="A177" s="338" t="s">
        <v>11</v>
      </c>
      <c r="B177" s="339" t="s">
        <v>789</v>
      </c>
    </row>
    <row r="178" spans="1:18">
      <c r="A178" s="338" t="s">
        <v>13</v>
      </c>
      <c r="B178" s="46" t="s">
        <v>14</v>
      </c>
    </row>
    <row r="179" spans="1:18">
      <c r="A179" s="338" t="s">
        <v>15</v>
      </c>
      <c r="B179" s="417">
        <f>B184</f>
        <v>9.0999999999999998E-2</v>
      </c>
    </row>
    <row r="180" spans="1:18">
      <c r="A180" s="338" t="s">
        <v>16</v>
      </c>
      <c r="B180" s="46" t="s">
        <v>17</v>
      </c>
    </row>
    <row r="181" spans="1:18">
      <c r="A181" s="338" t="s">
        <v>18</v>
      </c>
      <c r="B181" s="46" t="s">
        <v>113</v>
      </c>
    </row>
    <row r="182" spans="1:18">
      <c r="A182" s="335" t="s">
        <v>19</v>
      </c>
    </row>
    <row r="183" spans="1:18">
      <c r="A183" s="336" t="s">
        <v>20</v>
      </c>
      <c r="B183" s="336" t="s">
        <v>21</v>
      </c>
      <c r="C183" s="336" t="s">
        <v>18</v>
      </c>
      <c r="D183" s="336" t="s">
        <v>22</v>
      </c>
      <c r="E183" s="336" t="s">
        <v>7</v>
      </c>
      <c r="F183" s="336" t="s">
        <v>13</v>
      </c>
      <c r="G183" s="336" t="s">
        <v>16</v>
      </c>
      <c r="H183" s="336" t="s">
        <v>23</v>
      </c>
      <c r="I183" s="336" t="s">
        <v>24</v>
      </c>
      <c r="J183" s="336" t="s">
        <v>25</v>
      </c>
      <c r="K183" s="336" t="s">
        <v>26</v>
      </c>
      <c r="L183" s="336" t="s">
        <v>27</v>
      </c>
      <c r="M183" s="336" t="s">
        <v>28</v>
      </c>
      <c r="N183" s="336" t="s">
        <v>11</v>
      </c>
    </row>
    <row r="184" spans="1:18">
      <c r="A184" s="62" t="s">
        <v>1269</v>
      </c>
      <c r="B184" s="490">
        <v>9.0999999999999998E-2</v>
      </c>
      <c r="C184" s="46" t="s">
        <v>113</v>
      </c>
      <c r="D184" s="400" t="s">
        <v>2</v>
      </c>
      <c r="E184" s="46" t="s">
        <v>29</v>
      </c>
      <c r="F184" s="32" t="s">
        <v>14</v>
      </c>
      <c r="G184" s="46" t="s">
        <v>30</v>
      </c>
      <c r="H184" s="46">
        <v>1</v>
      </c>
      <c r="I184" s="407">
        <f>B184</f>
        <v>9.0999999999999998E-2</v>
      </c>
      <c r="J184" s="46" t="s">
        <v>31</v>
      </c>
      <c r="K184" s="46" t="s">
        <v>31</v>
      </c>
      <c r="L184" s="46" t="s">
        <v>31</v>
      </c>
      <c r="M184" s="46" t="s">
        <v>31</v>
      </c>
    </row>
    <row r="185" spans="1:18">
      <c r="A185" s="46" t="s">
        <v>1271</v>
      </c>
      <c r="B185" s="491">
        <v>9.0999999999999998E-2</v>
      </c>
      <c r="C185" s="46" t="s">
        <v>113</v>
      </c>
      <c r="D185" s="400" t="s">
        <v>2</v>
      </c>
      <c r="E185" s="46" t="s">
        <v>29</v>
      </c>
      <c r="F185" s="32" t="s">
        <v>14</v>
      </c>
      <c r="G185" s="46" t="s">
        <v>33</v>
      </c>
      <c r="H185" s="46">
        <v>1</v>
      </c>
      <c r="I185" s="407">
        <f>B185</f>
        <v>9.0999999999999998E-2</v>
      </c>
      <c r="J185" s="46" t="s">
        <v>31</v>
      </c>
      <c r="K185" s="46" t="s">
        <v>31</v>
      </c>
      <c r="L185" s="46" t="s">
        <v>31</v>
      </c>
      <c r="M185" s="46" t="s">
        <v>31</v>
      </c>
    </row>
    <row r="186" spans="1:18">
      <c r="A186" s="338" t="s">
        <v>75</v>
      </c>
      <c r="B186" s="342">
        <f>P186</f>
        <v>5.34</v>
      </c>
      <c r="C186" s="46" t="s">
        <v>39</v>
      </c>
      <c r="D186" s="46" t="s">
        <v>40</v>
      </c>
      <c r="E186" s="46" t="s">
        <v>29</v>
      </c>
      <c r="F186" s="32" t="s">
        <v>35</v>
      </c>
      <c r="G186" s="46" t="s">
        <v>33</v>
      </c>
      <c r="H186" s="46">
        <v>2</v>
      </c>
      <c r="I186" s="46">
        <f t="shared" ref="I186:I187" si="14">LN(B186)</f>
        <v>1.6752256529721035</v>
      </c>
      <c r="J186" s="46">
        <v>0.20928449536456342</v>
      </c>
      <c r="K186" s="46" t="s">
        <v>31</v>
      </c>
      <c r="L186" s="46" t="s">
        <v>31</v>
      </c>
      <c r="M186" s="46" t="s">
        <v>31</v>
      </c>
      <c r="O186" s="393" t="s">
        <v>216</v>
      </c>
      <c r="P186" s="406">
        <f>1.66+3.68</f>
        <v>5.34</v>
      </c>
    </row>
    <row r="187" spans="1:18" ht="15">
      <c r="A187" s="338" t="s">
        <v>792</v>
      </c>
      <c r="B187" s="46">
        <f>R187</f>
        <v>1.0699999999999999E-2</v>
      </c>
      <c r="C187" s="46" t="s">
        <v>37</v>
      </c>
      <c r="D187" s="46" t="s">
        <v>40</v>
      </c>
      <c r="E187" s="46" t="s">
        <v>29</v>
      </c>
      <c r="F187" s="32" t="s">
        <v>741</v>
      </c>
      <c r="G187" s="46" t="s">
        <v>33</v>
      </c>
      <c r="H187" s="46">
        <v>2</v>
      </c>
      <c r="I187" s="46">
        <f t="shared" si="14"/>
        <v>-4.5375115375142769</v>
      </c>
      <c r="J187" s="46">
        <v>0.20928449536456342</v>
      </c>
      <c r="K187" s="46" t="s">
        <v>31</v>
      </c>
      <c r="L187" s="46" t="s">
        <v>31</v>
      </c>
      <c r="M187" s="46" t="s">
        <v>31</v>
      </c>
      <c r="O187" s="393" t="s">
        <v>575</v>
      </c>
      <c r="P187" s="120">
        <v>10.7</v>
      </c>
      <c r="Q187" s="46" t="s">
        <v>221</v>
      </c>
      <c r="R187" s="46">
        <f>P187*0.001</f>
        <v>1.0699999999999999E-2</v>
      </c>
    </row>
    <row r="188" spans="1:18" ht="15">
      <c r="A188" s="47" t="s">
        <v>530</v>
      </c>
      <c r="B188" s="46">
        <f>R188</f>
        <v>1.3100000000000001E-2</v>
      </c>
      <c r="C188" s="46" t="s">
        <v>37</v>
      </c>
      <c r="D188" s="46" t="s">
        <v>40</v>
      </c>
      <c r="E188" s="46" t="s">
        <v>29</v>
      </c>
      <c r="F188" s="46" t="s">
        <v>35</v>
      </c>
      <c r="G188" s="46" t="s">
        <v>33</v>
      </c>
      <c r="H188" s="46">
        <v>2</v>
      </c>
      <c r="I188" s="46">
        <f>LN(B188)</f>
        <v>-4.3351430487750315</v>
      </c>
      <c r="J188" s="46">
        <v>0.20928449536456342</v>
      </c>
      <c r="K188" s="46" t="s">
        <v>31</v>
      </c>
      <c r="L188" s="46" t="s">
        <v>31</v>
      </c>
      <c r="M188" s="46" t="s">
        <v>31</v>
      </c>
      <c r="O188" s="393" t="s">
        <v>575</v>
      </c>
      <c r="P188" s="120">
        <v>13.1</v>
      </c>
      <c r="Q188" s="46" t="s">
        <v>221</v>
      </c>
      <c r="R188" s="46">
        <f>P188*0.001</f>
        <v>1.3100000000000001E-2</v>
      </c>
    </row>
    <row r="189" spans="1:18" ht="15">
      <c r="A189" s="46" t="s">
        <v>777</v>
      </c>
      <c r="B189" s="46">
        <f>R189</f>
        <v>1.3100000000000001E-2</v>
      </c>
      <c r="C189" s="46" t="s">
        <v>37</v>
      </c>
      <c r="D189" s="400" t="s">
        <v>2</v>
      </c>
      <c r="E189" s="46" t="s">
        <v>29</v>
      </c>
      <c r="F189" s="32" t="s">
        <v>741</v>
      </c>
      <c r="G189" s="46" t="s">
        <v>33</v>
      </c>
      <c r="H189" s="46">
        <v>2</v>
      </c>
      <c r="I189" s="46">
        <f t="shared" ref="I189" si="15">LN(B189)</f>
        <v>-4.3351430487750315</v>
      </c>
      <c r="J189" s="46">
        <v>0.20928449536456342</v>
      </c>
      <c r="K189" s="46" t="s">
        <v>31</v>
      </c>
      <c r="L189" s="46" t="s">
        <v>31</v>
      </c>
      <c r="M189" s="46" t="s">
        <v>31</v>
      </c>
      <c r="O189" s="439" t="s">
        <v>575</v>
      </c>
      <c r="P189" s="155">
        <v>13.1</v>
      </c>
      <c r="Q189" s="46" t="s">
        <v>221</v>
      </c>
      <c r="R189" s="46">
        <f t="shared" ref="R189" si="16">0.001*P189</f>
        <v>1.3100000000000001E-2</v>
      </c>
    </row>
    <row r="190" spans="1:18" s="345" customFormat="1">
      <c r="A190" s="362" t="s">
        <v>5</v>
      </c>
      <c r="B190" s="363" t="s">
        <v>1271</v>
      </c>
      <c r="C190" s="364"/>
    </row>
    <row r="191" spans="1:18">
      <c r="A191" s="338" t="s">
        <v>7</v>
      </c>
      <c r="B191" s="46" t="s">
        <v>779</v>
      </c>
      <c r="C191" s="337"/>
    </row>
    <row r="192" spans="1:18">
      <c r="A192" s="416" t="s">
        <v>9</v>
      </c>
      <c r="B192" s="46" t="s">
        <v>1272</v>
      </c>
      <c r="C192" s="337"/>
    </row>
    <row r="193" spans="1:21" ht="15.75" customHeight="1">
      <c r="A193" s="338" t="s">
        <v>11</v>
      </c>
      <c r="B193" s="339" t="s">
        <v>789</v>
      </c>
    </row>
    <row r="194" spans="1:21">
      <c r="A194" s="338" t="s">
        <v>13</v>
      </c>
      <c r="B194" s="46" t="s">
        <v>14</v>
      </c>
      <c r="R194" s="336" t="s">
        <v>880</v>
      </c>
    </row>
    <row r="195" spans="1:21">
      <c r="A195" s="338" t="s">
        <v>15</v>
      </c>
      <c r="B195" s="417">
        <f>B200</f>
        <v>1.1499999999999999</v>
      </c>
      <c r="R195" s="46" t="s">
        <v>881</v>
      </c>
      <c r="S195" s="46">
        <v>8900</v>
      </c>
      <c r="T195" s="46" t="s">
        <v>882</v>
      </c>
    </row>
    <row r="196" spans="1:21">
      <c r="A196" s="338" t="s">
        <v>16</v>
      </c>
      <c r="B196" s="46" t="s">
        <v>17</v>
      </c>
      <c r="R196" s="46" t="s">
        <v>883</v>
      </c>
      <c r="S196" s="46">
        <f>5*10^-6</f>
        <v>4.9999999999999996E-6</v>
      </c>
      <c r="T196" s="46" t="s">
        <v>884</v>
      </c>
    </row>
    <row r="197" spans="1:21">
      <c r="A197" s="338" t="s">
        <v>18</v>
      </c>
      <c r="B197" s="46" t="s">
        <v>113</v>
      </c>
      <c r="R197" s="419" t="s">
        <v>885</v>
      </c>
      <c r="S197" s="420">
        <f>S196*S195</f>
        <v>4.4499999999999998E-2</v>
      </c>
      <c r="T197" s="421" t="s">
        <v>886</v>
      </c>
    </row>
    <row r="198" spans="1:21">
      <c r="A198" s="335" t="s">
        <v>19</v>
      </c>
    </row>
    <row r="199" spans="1:21">
      <c r="A199" s="336" t="s">
        <v>20</v>
      </c>
      <c r="B199" s="336" t="s">
        <v>21</v>
      </c>
      <c r="C199" s="336" t="s">
        <v>18</v>
      </c>
      <c r="D199" s="336" t="s">
        <v>22</v>
      </c>
      <c r="E199" s="336" t="s">
        <v>7</v>
      </c>
      <c r="F199" s="336" t="s">
        <v>13</v>
      </c>
      <c r="G199" s="336" t="s">
        <v>16</v>
      </c>
      <c r="H199" s="336" t="s">
        <v>23</v>
      </c>
      <c r="I199" s="336" t="s">
        <v>24</v>
      </c>
      <c r="J199" s="336" t="s">
        <v>25</v>
      </c>
      <c r="K199" s="336" t="s">
        <v>26</v>
      </c>
      <c r="L199" s="336" t="s">
        <v>27</v>
      </c>
      <c r="M199" s="336" t="s">
        <v>28</v>
      </c>
      <c r="N199" s="336" t="s">
        <v>11</v>
      </c>
      <c r="R199" s="46" t="s">
        <v>548</v>
      </c>
      <c r="U199" s="402"/>
    </row>
    <row r="200" spans="1:21">
      <c r="A200" s="46" t="s">
        <v>1271</v>
      </c>
      <c r="B200" s="447">
        <v>1.1499999999999999</v>
      </c>
      <c r="C200" s="46" t="s">
        <v>113</v>
      </c>
      <c r="D200" s="400" t="s">
        <v>2</v>
      </c>
      <c r="E200" s="46" t="s">
        <v>29</v>
      </c>
      <c r="F200" s="46" t="s">
        <v>14</v>
      </c>
      <c r="G200" s="46" t="s">
        <v>30</v>
      </c>
      <c r="H200" s="46">
        <v>1</v>
      </c>
      <c r="I200" s="46">
        <f>B200</f>
        <v>1.1499999999999999</v>
      </c>
      <c r="J200" s="46" t="s">
        <v>31</v>
      </c>
      <c r="K200" s="46" t="s">
        <v>31</v>
      </c>
      <c r="L200" s="46" t="s">
        <v>31</v>
      </c>
      <c r="M200" s="46" t="s">
        <v>31</v>
      </c>
      <c r="O200" s="441" t="s">
        <v>887</v>
      </c>
      <c r="P200" s="442">
        <f>B200*100</f>
        <v>114.99999999999999</v>
      </c>
      <c r="R200" s="422">
        <v>1.18</v>
      </c>
      <c r="S200" s="423" t="s">
        <v>605</v>
      </c>
      <c r="T200" s="422">
        <f>R200*S197</f>
        <v>5.2509999999999994E-2</v>
      </c>
      <c r="U200" s="423" t="s">
        <v>221</v>
      </c>
    </row>
    <row r="201" spans="1:21">
      <c r="A201" s="46" t="s">
        <v>1273</v>
      </c>
      <c r="B201" s="447">
        <v>1.1499999999999999</v>
      </c>
      <c r="C201" s="46" t="s">
        <v>113</v>
      </c>
      <c r="D201" s="400" t="s">
        <v>2</v>
      </c>
      <c r="E201" s="46" t="s">
        <v>29</v>
      </c>
      <c r="F201" s="46" t="s">
        <v>14</v>
      </c>
      <c r="G201" s="46" t="s">
        <v>33</v>
      </c>
      <c r="H201" s="46">
        <v>1</v>
      </c>
      <c r="I201" s="46">
        <f t="shared" ref="I201:I202" si="17">B201</f>
        <v>1.1499999999999999</v>
      </c>
      <c r="J201" s="46">
        <v>7.2284161474004766E-2</v>
      </c>
      <c r="K201" s="46" t="s">
        <v>31</v>
      </c>
      <c r="L201" s="46" t="s">
        <v>31</v>
      </c>
      <c r="M201" s="46" t="s">
        <v>31</v>
      </c>
      <c r="O201" s="393" t="s">
        <v>887</v>
      </c>
      <c r="P201" s="406">
        <f>B201*100</f>
        <v>114.99999999999999</v>
      </c>
    </row>
    <row r="202" spans="1:21">
      <c r="A202" s="62" t="s">
        <v>1226</v>
      </c>
      <c r="B202" s="412">
        <f>T200</f>
        <v>5.2509999999999994E-2</v>
      </c>
      <c r="C202" s="46" t="s">
        <v>37</v>
      </c>
      <c r="D202" s="400" t="s">
        <v>2</v>
      </c>
      <c r="E202" s="46" t="s">
        <v>29</v>
      </c>
      <c r="F202" s="32" t="s">
        <v>14</v>
      </c>
      <c r="G202" s="46" t="s">
        <v>33</v>
      </c>
      <c r="H202" s="46">
        <v>1</v>
      </c>
      <c r="I202" s="46">
        <f t="shared" si="17"/>
        <v>5.2509999999999994E-2</v>
      </c>
      <c r="J202" s="46">
        <v>7.2284161474004766E-2</v>
      </c>
      <c r="K202" s="46" t="s">
        <v>31</v>
      </c>
      <c r="L202" s="46" t="s">
        <v>31</v>
      </c>
      <c r="M202" s="46" t="s">
        <v>31</v>
      </c>
      <c r="O202" s="62"/>
      <c r="P202" s="413"/>
    </row>
    <row r="203" spans="1:21">
      <c r="A203" s="338" t="s">
        <v>792</v>
      </c>
      <c r="B203" s="46">
        <f>P203</f>
        <v>9.5</v>
      </c>
      <c r="C203" s="46" t="s">
        <v>37</v>
      </c>
      <c r="D203" s="46" t="s">
        <v>40</v>
      </c>
      <c r="E203" s="46" t="s">
        <v>29</v>
      </c>
      <c r="F203" s="32" t="s">
        <v>741</v>
      </c>
      <c r="G203" s="46" t="s">
        <v>33</v>
      </c>
      <c r="H203" s="46">
        <v>2</v>
      </c>
      <c r="I203" s="46">
        <f t="shared" ref="I203" si="18">LN(B203)</f>
        <v>2.2512917986064953</v>
      </c>
      <c r="J203" s="46">
        <v>7.2284161474004766E-2</v>
      </c>
      <c r="K203" s="46" t="s">
        <v>31</v>
      </c>
      <c r="L203" s="46" t="s">
        <v>31</v>
      </c>
      <c r="M203" s="46" t="s">
        <v>31</v>
      </c>
      <c r="O203" s="393" t="s">
        <v>221</v>
      </c>
      <c r="P203" s="406">
        <v>9.5</v>
      </c>
    </row>
    <row r="204" spans="1:21">
      <c r="A204" s="47" t="s">
        <v>869</v>
      </c>
      <c r="B204" s="443">
        <f>R204</f>
        <v>4.9999999999999998E-7</v>
      </c>
      <c r="C204" s="46" t="s">
        <v>37</v>
      </c>
      <c r="D204" s="46" t="s">
        <v>40</v>
      </c>
      <c r="E204" s="46" t="s">
        <v>29</v>
      </c>
      <c r="F204" s="32" t="s">
        <v>58</v>
      </c>
      <c r="G204" s="46" t="s">
        <v>33</v>
      </c>
      <c r="H204" s="46">
        <v>2</v>
      </c>
      <c r="I204" s="46">
        <f>LN(B204)</f>
        <v>-14.508657738524219</v>
      </c>
      <c r="J204" s="46">
        <v>7.2284161474004766E-2</v>
      </c>
      <c r="K204" s="46" t="s">
        <v>31</v>
      </c>
      <c r="L204" s="46" t="s">
        <v>31</v>
      </c>
      <c r="M204" s="46" t="s">
        <v>31</v>
      </c>
      <c r="O204" s="408" t="s">
        <v>523</v>
      </c>
      <c r="P204" s="431">
        <v>0.5</v>
      </c>
      <c r="Q204" s="46" t="s">
        <v>221</v>
      </c>
      <c r="R204" s="46">
        <f>0.000001*P204</f>
        <v>4.9999999999999998E-7</v>
      </c>
    </row>
    <row r="205" spans="1:21">
      <c r="A205" s="47" t="s">
        <v>226</v>
      </c>
      <c r="B205" s="443">
        <f>R205</f>
        <v>9.4999999999999998E-3</v>
      </c>
      <c r="C205" s="46" t="s">
        <v>42</v>
      </c>
      <c r="D205" s="46" t="s">
        <v>40</v>
      </c>
      <c r="E205" s="46" t="s">
        <v>29</v>
      </c>
      <c r="F205" s="32" t="s">
        <v>741</v>
      </c>
      <c r="G205" s="46" t="s">
        <v>33</v>
      </c>
      <c r="H205" s="46">
        <v>2</v>
      </c>
      <c r="I205" s="46">
        <f t="shared" ref="I205" si="19">LN(B205)</f>
        <v>-4.656463480375642</v>
      </c>
      <c r="J205" s="46">
        <v>7.2284161474004766E-2</v>
      </c>
      <c r="K205" s="46" t="s">
        <v>31</v>
      </c>
      <c r="L205" s="46" t="s">
        <v>31</v>
      </c>
      <c r="M205" s="46" t="s">
        <v>31</v>
      </c>
      <c r="O205" s="410" t="s">
        <v>858</v>
      </c>
      <c r="P205" s="411">
        <v>9.5</v>
      </c>
      <c r="Q205" s="46" t="s">
        <v>219</v>
      </c>
      <c r="R205" s="46">
        <f>0.001*P205</f>
        <v>9.4999999999999998E-3</v>
      </c>
    </row>
    <row r="206" spans="1:21" s="345" customFormat="1">
      <c r="A206" s="362" t="s">
        <v>5</v>
      </c>
      <c r="B206" s="363" t="s">
        <v>1273</v>
      </c>
      <c r="C206" s="364"/>
    </row>
    <row r="207" spans="1:21">
      <c r="A207" s="338" t="s">
        <v>7</v>
      </c>
      <c r="B207" s="46" t="s">
        <v>779</v>
      </c>
      <c r="C207" s="337"/>
    </row>
    <row r="208" spans="1:21">
      <c r="A208" s="416" t="s">
        <v>9</v>
      </c>
      <c r="B208" s="46" t="s">
        <v>1274</v>
      </c>
      <c r="C208" s="337"/>
    </row>
    <row r="209" spans="1:19" ht="15.75" customHeight="1">
      <c r="A209" s="338" t="s">
        <v>11</v>
      </c>
      <c r="B209" s="339" t="s">
        <v>789</v>
      </c>
    </row>
    <row r="210" spans="1:19">
      <c r="A210" s="338" t="s">
        <v>13</v>
      </c>
      <c r="B210" s="46" t="s">
        <v>14</v>
      </c>
    </row>
    <row r="211" spans="1:19">
      <c r="A211" s="338" t="s">
        <v>15</v>
      </c>
      <c r="B211" s="417">
        <f>B216</f>
        <v>1.1499999999999999</v>
      </c>
    </row>
    <row r="212" spans="1:19">
      <c r="A212" s="338" t="s">
        <v>16</v>
      </c>
      <c r="B212" s="46" t="s">
        <v>17</v>
      </c>
    </row>
    <row r="213" spans="1:19">
      <c r="A213" s="338" t="s">
        <v>18</v>
      </c>
      <c r="B213" s="46" t="s">
        <v>113</v>
      </c>
      <c r="S213" s="407"/>
    </row>
    <row r="214" spans="1:19">
      <c r="A214" s="335" t="s">
        <v>19</v>
      </c>
    </row>
    <row r="215" spans="1:19">
      <c r="A215" s="336" t="s">
        <v>20</v>
      </c>
      <c r="B215" s="336" t="s">
        <v>21</v>
      </c>
      <c r="C215" s="336" t="s">
        <v>18</v>
      </c>
      <c r="D215" s="336" t="s">
        <v>22</v>
      </c>
      <c r="E215" s="336" t="s">
        <v>7</v>
      </c>
      <c r="F215" s="336" t="s">
        <v>13</v>
      </c>
      <c r="G215" s="336" t="s">
        <v>16</v>
      </c>
      <c r="H215" s="336" t="s">
        <v>23</v>
      </c>
      <c r="I215" s="336" t="s">
        <v>24</v>
      </c>
      <c r="J215" s="336" t="s">
        <v>25</v>
      </c>
      <c r="K215" s="336" t="s">
        <v>26</v>
      </c>
      <c r="L215" s="336" t="s">
        <v>27</v>
      </c>
      <c r="M215" s="336" t="s">
        <v>28</v>
      </c>
      <c r="N215" s="336" t="s">
        <v>11</v>
      </c>
    </row>
    <row r="216" spans="1:19">
      <c r="A216" s="46" t="s">
        <v>1273</v>
      </c>
      <c r="B216" s="407">
        <f>P216</f>
        <v>1.1499999999999999</v>
      </c>
      <c r="C216" s="46" t="s">
        <v>113</v>
      </c>
      <c r="D216" s="400" t="s">
        <v>2</v>
      </c>
      <c r="E216" s="46" t="s">
        <v>29</v>
      </c>
      <c r="F216" s="46" t="s">
        <v>14</v>
      </c>
      <c r="G216" s="46" t="s">
        <v>30</v>
      </c>
      <c r="H216" s="46">
        <v>1</v>
      </c>
      <c r="I216" s="407">
        <f>B216</f>
        <v>1.1499999999999999</v>
      </c>
      <c r="J216" s="46" t="s">
        <v>31</v>
      </c>
      <c r="K216" s="46" t="s">
        <v>31</v>
      </c>
      <c r="L216" s="46" t="s">
        <v>31</v>
      </c>
      <c r="M216" s="46" t="s">
        <v>31</v>
      </c>
      <c r="O216" s="393" t="s">
        <v>605</v>
      </c>
      <c r="P216" s="447">
        <v>1.1499999999999999</v>
      </c>
    </row>
    <row r="217" spans="1:19">
      <c r="A217" s="46" t="s">
        <v>1229</v>
      </c>
      <c r="B217" s="407">
        <f>'2D. Reusable'!B68</f>
        <v>0.27</v>
      </c>
      <c r="C217" s="46" t="s">
        <v>37</v>
      </c>
      <c r="D217" s="400" t="s">
        <v>2</v>
      </c>
      <c r="E217" s="46" t="s">
        <v>29</v>
      </c>
      <c r="F217" s="46" t="s">
        <v>14</v>
      </c>
      <c r="G217" s="46" t="s">
        <v>33</v>
      </c>
      <c r="H217" s="46">
        <v>1</v>
      </c>
      <c r="I217" s="407">
        <f>B217</f>
        <v>0.27</v>
      </c>
      <c r="J217" s="46" t="s">
        <v>31</v>
      </c>
      <c r="K217" s="46" t="s">
        <v>31</v>
      </c>
      <c r="L217" s="46" t="s">
        <v>31</v>
      </c>
      <c r="M217" s="46" t="s">
        <v>31</v>
      </c>
      <c r="O217" s="424"/>
      <c r="P217" s="447">
        <v>1.1499999999999999</v>
      </c>
      <c r="Q217" s="46" t="s">
        <v>1039</v>
      </c>
    </row>
    <row r="218" spans="1:19">
      <c r="A218" s="338" t="s">
        <v>75</v>
      </c>
      <c r="B218" s="342">
        <f>P218</f>
        <v>0.52</v>
      </c>
      <c r="C218" s="46" t="s">
        <v>39</v>
      </c>
      <c r="D218" s="46" t="s">
        <v>40</v>
      </c>
      <c r="E218" s="46" t="s">
        <v>29</v>
      </c>
      <c r="F218" s="32" t="s">
        <v>35</v>
      </c>
      <c r="G218" s="46" t="s">
        <v>33</v>
      </c>
      <c r="H218" s="46">
        <v>2</v>
      </c>
      <c r="I218" s="46">
        <f t="shared" ref="I218:I219" si="20">LN(B218)</f>
        <v>-0.65392646740666394</v>
      </c>
      <c r="J218" s="46">
        <v>7.2284161474004766E-2</v>
      </c>
      <c r="K218" s="46" t="s">
        <v>31</v>
      </c>
      <c r="L218" s="46" t="s">
        <v>31</v>
      </c>
      <c r="M218" s="46" t="s">
        <v>31</v>
      </c>
      <c r="O218" s="393" t="s">
        <v>216</v>
      </c>
      <c r="P218" s="406">
        <v>0.52</v>
      </c>
    </row>
    <row r="219" spans="1:19">
      <c r="A219" s="47" t="s">
        <v>547</v>
      </c>
      <c r="B219" s="46">
        <f>R219</f>
        <v>1.2E-2</v>
      </c>
      <c r="C219" s="407" t="s">
        <v>37</v>
      </c>
      <c r="D219" s="46" t="s">
        <v>40</v>
      </c>
      <c r="E219" s="46" t="s">
        <v>29</v>
      </c>
      <c r="F219" s="46" t="s">
        <v>58</v>
      </c>
      <c r="G219" s="46" t="s">
        <v>33</v>
      </c>
      <c r="H219" s="46">
        <v>2</v>
      </c>
      <c r="I219" s="46">
        <f t="shared" si="20"/>
        <v>-4.4228486291941369</v>
      </c>
      <c r="J219" s="46">
        <v>7.2284161474004766E-2</v>
      </c>
      <c r="K219" s="46" t="s">
        <v>31</v>
      </c>
      <c r="L219" s="46" t="s">
        <v>31</v>
      </c>
      <c r="M219" s="46" t="s">
        <v>31</v>
      </c>
      <c r="O219" s="393" t="s">
        <v>575</v>
      </c>
      <c r="P219" s="406">
        <v>12</v>
      </c>
      <c r="Q219" s="46" t="s">
        <v>221</v>
      </c>
      <c r="R219" s="46">
        <f>P219*0.001</f>
        <v>1.2E-2</v>
      </c>
    </row>
    <row r="220" spans="1:19">
      <c r="A220" s="61" t="s">
        <v>866</v>
      </c>
      <c r="B220" s="46">
        <f t="shared" ref="B220:B221" si="21">R220</f>
        <v>2.1999999999999999E-2</v>
      </c>
      <c r="C220" s="46" t="s">
        <v>37</v>
      </c>
      <c r="D220" s="46" t="s">
        <v>40</v>
      </c>
      <c r="E220" s="46" t="s">
        <v>29</v>
      </c>
      <c r="F220" s="32" t="s">
        <v>35</v>
      </c>
      <c r="G220" s="46" t="s">
        <v>33</v>
      </c>
      <c r="H220" s="46">
        <v>2</v>
      </c>
      <c r="I220" s="46">
        <f>LN(B220)</f>
        <v>-3.8167128256238212</v>
      </c>
      <c r="J220" s="46">
        <v>7.2284161474004766E-2</v>
      </c>
      <c r="K220" s="46" t="s">
        <v>31</v>
      </c>
      <c r="L220" s="46" t="s">
        <v>31</v>
      </c>
      <c r="M220" s="46" t="s">
        <v>31</v>
      </c>
      <c r="O220" s="393" t="s">
        <v>575</v>
      </c>
      <c r="P220" s="406">
        <v>22</v>
      </c>
      <c r="Q220" s="46" t="s">
        <v>221</v>
      </c>
      <c r="R220" s="46">
        <f>P220*0.001</f>
        <v>2.1999999999999999E-2</v>
      </c>
    </row>
    <row r="221" spans="1:19">
      <c r="A221" s="338" t="s">
        <v>792</v>
      </c>
      <c r="B221" s="46">
        <f t="shared" si="21"/>
        <v>19.7</v>
      </c>
      <c r="C221" s="46" t="s">
        <v>37</v>
      </c>
      <c r="D221" s="46" t="s">
        <v>40</v>
      </c>
      <c r="E221" s="46" t="s">
        <v>29</v>
      </c>
      <c r="F221" s="32" t="s">
        <v>741</v>
      </c>
      <c r="G221" s="46" t="s">
        <v>33</v>
      </c>
      <c r="H221" s="46">
        <v>2</v>
      </c>
      <c r="I221" s="46">
        <f t="shared" ref="I221:I222" si="22">LN(B221)</f>
        <v>2.9806186357439426</v>
      </c>
      <c r="J221" s="46">
        <v>7.2284161474004766E-2</v>
      </c>
      <c r="K221" s="46" t="s">
        <v>31</v>
      </c>
      <c r="L221" s="46" t="s">
        <v>31</v>
      </c>
      <c r="M221" s="46" t="s">
        <v>31</v>
      </c>
      <c r="O221" s="393" t="s">
        <v>221</v>
      </c>
      <c r="P221" s="406">
        <v>19.7</v>
      </c>
      <c r="Q221" s="46" t="s">
        <v>221</v>
      </c>
      <c r="R221" s="46">
        <f>P221</f>
        <v>19.7</v>
      </c>
    </row>
    <row r="222" spans="1:19">
      <c r="A222" s="47" t="s">
        <v>226</v>
      </c>
      <c r="B222" s="46">
        <f>R222</f>
        <v>1.9699999999999999E-2</v>
      </c>
      <c r="C222" s="46" t="s">
        <v>42</v>
      </c>
      <c r="D222" s="46" t="s">
        <v>40</v>
      </c>
      <c r="E222" s="46" t="s">
        <v>29</v>
      </c>
      <c r="F222" s="32" t="s">
        <v>741</v>
      </c>
      <c r="G222" s="46" t="s">
        <v>33</v>
      </c>
      <c r="H222" s="46">
        <v>2</v>
      </c>
      <c r="I222" s="46">
        <f t="shared" si="22"/>
        <v>-3.9271366432381942</v>
      </c>
      <c r="J222" s="46">
        <v>7.2284161474004766E-2</v>
      </c>
      <c r="K222" s="46" t="s">
        <v>31</v>
      </c>
      <c r="L222" s="46" t="s">
        <v>31</v>
      </c>
      <c r="M222" s="46" t="s">
        <v>31</v>
      </c>
      <c r="O222" s="410" t="s">
        <v>858</v>
      </c>
      <c r="P222" s="411">
        <v>19.7</v>
      </c>
      <c r="Q222" s="46" t="s">
        <v>219</v>
      </c>
      <c r="R222" s="46">
        <f>0.001*P222</f>
        <v>1.9699999999999999E-2</v>
      </c>
    </row>
    <row r="223" spans="1:19" s="345" customFormat="1">
      <c r="A223" s="362" t="s">
        <v>5</v>
      </c>
      <c r="B223" s="438" t="s">
        <v>1266</v>
      </c>
      <c r="C223" s="364"/>
      <c r="P223" s="46"/>
    </row>
    <row r="224" spans="1:19">
      <c r="A224" s="338" t="s">
        <v>7</v>
      </c>
      <c r="B224" s="46" t="s">
        <v>779</v>
      </c>
      <c r="C224" s="337"/>
    </row>
    <row r="225" spans="1:16">
      <c r="A225" s="416" t="s">
        <v>9</v>
      </c>
      <c r="B225" s="46" t="s">
        <v>1275</v>
      </c>
      <c r="C225" s="337"/>
    </row>
    <row r="226" spans="1:16" ht="15.75" customHeight="1">
      <c r="A226" s="338" t="s">
        <v>11</v>
      </c>
      <c r="B226" s="339" t="s">
        <v>789</v>
      </c>
    </row>
    <row r="227" spans="1:16">
      <c r="A227" s="338" t="s">
        <v>13</v>
      </c>
      <c r="B227" s="46" t="s">
        <v>14</v>
      </c>
    </row>
    <row r="228" spans="1:16">
      <c r="A228" s="338" t="s">
        <v>15</v>
      </c>
      <c r="B228" s="417">
        <f>B233</f>
        <v>2.8000000000000001E-2</v>
      </c>
    </row>
    <row r="229" spans="1:16">
      <c r="A229" s="338" t="s">
        <v>16</v>
      </c>
      <c r="B229" s="46" t="s">
        <v>17</v>
      </c>
    </row>
    <row r="230" spans="1:16">
      <c r="A230" s="338" t="s">
        <v>18</v>
      </c>
      <c r="B230" s="46" t="s">
        <v>113</v>
      </c>
    </row>
    <row r="231" spans="1:16">
      <c r="A231" s="335" t="s">
        <v>19</v>
      </c>
    </row>
    <row r="232" spans="1:16">
      <c r="A232" s="336" t="s">
        <v>20</v>
      </c>
      <c r="B232" s="336" t="s">
        <v>21</v>
      </c>
      <c r="C232" s="336" t="s">
        <v>18</v>
      </c>
      <c r="D232" s="336" t="s">
        <v>22</v>
      </c>
      <c r="E232" s="336" t="s">
        <v>7</v>
      </c>
      <c r="F232" s="336" t="s">
        <v>13</v>
      </c>
      <c r="G232" s="336" t="s">
        <v>16</v>
      </c>
      <c r="H232" s="336" t="s">
        <v>23</v>
      </c>
      <c r="I232" s="336" t="s">
        <v>24</v>
      </c>
      <c r="J232" s="336" t="s">
        <v>25</v>
      </c>
      <c r="K232" s="336" t="s">
        <v>26</v>
      </c>
      <c r="L232" s="336" t="s">
        <v>27</v>
      </c>
      <c r="M232" s="336" t="s">
        <v>28</v>
      </c>
      <c r="N232" s="336" t="s">
        <v>11</v>
      </c>
    </row>
    <row r="233" spans="1:16">
      <c r="A233" s="46" t="s">
        <v>1266</v>
      </c>
      <c r="B233" s="407">
        <f>P233</f>
        <v>2.8000000000000001E-2</v>
      </c>
      <c r="C233" s="46" t="s">
        <v>113</v>
      </c>
      <c r="D233" s="400" t="s">
        <v>2</v>
      </c>
      <c r="E233" s="46" t="s">
        <v>29</v>
      </c>
      <c r="F233" s="32" t="s">
        <v>14</v>
      </c>
      <c r="G233" s="46" t="s">
        <v>30</v>
      </c>
      <c r="H233" s="46">
        <v>1</v>
      </c>
      <c r="I233" s="407">
        <f t="shared" ref="I233:I235" si="23">B233</f>
        <v>2.8000000000000001E-2</v>
      </c>
      <c r="J233" s="46" t="s">
        <v>31</v>
      </c>
      <c r="K233" s="46" t="s">
        <v>31</v>
      </c>
      <c r="L233" s="46" t="s">
        <v>31</v>
      </c>
      <c r="M233" s="46" t="s">
        <v>31</v>
      </c>
      <c r="O233" s="463" t="s">
        <v>817</v>
      </c>
      <c r="P233" s="461">
        <v>2.8000000000000001E-2</v>
      </c>
    </row>
    <row r="234" spans="1:16">
      <c r="A234" s="46" t="s">
        <v>1276</v>
      </c>
      <c r="B234" s="407">
        <f>B254</f>
        <v>2.8000000000000001E-2</v>
      </c>
      <c r="C234" s="46" t="s">
        <v>113</v>
      </c>
      <c r="D234" s="400" t="s">
        <v>2</v>
      </c>
      <c r="E234" s="46" t="s">
        <v>29</v>
      </c>
      <c r="F234" s="32" t="s">
        <v>14</v>
      </c>
      <c r="G234" s="46" t="s">
        <v>33</v>
      </c>
      <c r="H234" s="46">
        <v>1</v>
      </c>
      <c r="I234" s="407">
        <f t="shared" si="23"/>
        <v>2.8000000000000001E-2</v>
      </c>
      <c r="J234" s="46" t="s">
        <v>31</v>
      </c>
      <c r="K234" s="46" t="s">
        <v>31</v>
      </c>
      <c r="L234" s="46" t="s">
        <v>31</v>
      </c>
      <c r="M234" s="46" t="s">
        <v>31</v>
      </c>
      <c r="O234" s="463" t="s">
        <v>817</v>
      </c>
      <c r="P234" s="464"/>
    </row>
    <row r="235" spans="1:16">
      <c r="A235" s="46" t="s">
        <v>1277</v>
      </c>
      <c r="B235" s="407">
        <f>B242</f>
        <v>4.8200000000000005E-3</v>
      </c>
      <c r="C235" s="46" t="s">
        <v>113</v>
      </c>
      <c r="D235" s="400" t="s">
        <v>2</v>
      </c>
      <c r="E235" s="46" t="s">
        <v>29</v>
      </c>
      <c r="F235" s="32" t="s">
        <v>14</v>
      </c>
      <c r="G235" s="46" t="s">
        <v>33</v>
      </c>
      <c r="H235" s="46">
        <v>1</v>
      </c>
      <c r="I235" s="407">
        <f t="shared" si="23"/>
        <v>4.8200000000000005E-3</v>
      </c>
      <c r="J235" s="46" t="s">
        <v>31</v>
      </c>
      <c r="K235" s="46" t="s">
        <v>31</v>
      </c>
      <c r="L235" s="46" t="s">
        <v>31</v>
      </c>
      <c r="M235" s="46" t="s">
        <v>31</v>
      </c>
      <c r="O235" s="392" t="s">
        <v>817</v>
      </c>
      <c r="P235" s="461"/>
    </row>
    <row r="236" spans="1:16" ht="15">
      <c r="A236" s="338" t="s">
        <v>75</v>
      </c>
      <c r="B236" s="407">
        <f>P236</f>
        <v>0.67</v>
      </c>
      <c r="C236" s="46" t="s">
        <v>39</v>
      </c>
      <c r="D236" s="46" t="s">
        <v>40</v>
      </c>
      <c r="E236" s="46" t="s">
        <v>29</v>
      </c>
      <c r="F236" s="32" t="s">
        <v>35</v>
      </c>
      <c r="G236" s="46" t="s">
        <v>33</v>
      </c>
      <c r="H236" s="46">
        <v>2</v>
      </c>
      <c r="I236" s="46">
        <f t="shared" ref="I236" si="24">LN(B236)</f>
        <v>-0.40047756659712525</v>
      </c>
      <c r="J236" s="46">
        <v>0.20928449536456342</v>
      </c>
      <c r="K236" s="46" t="s">
        <v>31</v>
      </c>
      <c r="L236" s="46" t="s">
        <v>31</v>
      </c>
      <c r="M236" s="46" t="s">
        <v>31</v>
      </c>
      <c r="O236" s="393" t="s">
        <v>216</v>
      </c>
      <c r="P236" s="120">
        <v>0.67</v>
      </c>
    </row>
    <row r="237" spans="1:16" s="345" customFormat="1">
      <c r="A237" s="362" t="s">
        <v>5</v>
      </c>
      <c r="B237" s="438" t="s">
        <v>1277</v>
      </c>
      <c r="C237" s="364"/>
    </row>
    <row r="238" spans="1:16">
      <c r="A238" s="338" t="s">
        <v>7</v>
      </c>
      <c r="B238" s="46" t="s">
        <v>779</v>
      </c>
      <c r="C238" s="337"/>
    </row>
    <row r="239" spans="1:16">
      <c r="A239" s="416" t="s">
        <v>9</v>
      </c>
      <c r="B239" s="46" t="s">
        <v>1278</v>
      </c>
      <c r="C239" s="337"/>
    </row>
    <row r="240" spans="1:16" ht="15.75" customHeight="1">
      <c r="A240" s="338" t="s">
        <v>11</v>
      </c>
      <c r="B240" s="339" t="s">
        <v>789</v>
      </c>
    </row>
    <row r="241" spans="1:19">
      <c r="A241" s="338" t="s">
        <v>13</v>
      </c>
      <c r="B241" s="46" t="s">
        <v>14</v>
      </c>
    </row>
    <row r="242" spans="1:19">
      <c r="A242" s="338" t="s">
        <v>15</v>
      </c>
      <c r="B242" s="407">
        <f>B247</f>
        <v>4.8200000000000005E-3</v>
      </c>
    </row>
    <row r="243" spans="1:19">
      <c r="A243" s="338" t="s">
        <v>16</v>
      </c>
      <c r="B243" s="46" t="s">
        <v>17</v>
      </c>
    </row>
    <row r="244" spans="1:19">
      <c r="A244" s="338" t="s">
        <v>18</v>
      </c>
      <c r="B244" s="46" t="s">
        <v>113</v>
      </c>
    </row>
    <row r="245" spans="1:19">
      <c r="A245" s="335" t="s">
        <v>19</v>
      </c>
    </row>
    <row r="246" spans="1:19">
      <c r="A246" s="336" t="s">
        <v>20</v>
      </c>
      <c r="B246" s="336" t="s">
        <v>21</v>
      </c>
      <c r="C246" s="336" t="s">
        <v>18</v>
      </c>
      <c r="D246" s="336" t="s">
        <v>22</v>
      </c>
      <c r="E246" s="336" t="s">
        <v>7</v>
      </c>
      <c r="F246" s="336" t="s">
        <v>13</v>
      </c>
      <c r="G246" s="336" t="s">
        <v>16</v>
      </c>
      <c r="H246" s="336" t="s">
        <v>23</v>
      </c>
      <c r="I246" s="336" t="s">
        <v>24</v>
      </c>
      <c r="J246" s="336" t="s">
        <v>25</v>
      </c>
      <c r="K246" s="336" t="s">
        <v>26</v>
      </c>
      <c r="L246" s="336" t="s">
        <v>27</v>
      </c>
      <c r="M246" s="336" t="s">
        <v>28</v>
      </c>
      <c r="N246" s="336" t="s">
        <v>11</v>
      </c>
    </row>
    <row r="247" spans="1:19">
      <c r="A247" s="46" t="s">
        <v>1277</v>
      </c>
      <c r="B247" s="407">
        <f>S247</f>
        <v>4.8200000000000005E-3</v>
      </c>
      <c r="C247" s="46" t="s">
        <v>113</v>
      </c>
      <c r="D247" s="400" t="s">
        <v>2</v>
      </c>
      <c r="E247" s="46" t="s">
        <v>29</v>
      </c>
      <c r="F247" s="32" t="s">
        <v>14</v>
      </c>
      <c r="G247" s="46" t="s">
        <v>30</v>
      </c>
      <c r="H247" s="46">
        <v>1</v>
      </c>
      <c r="I247" s="407">
        <f>B247</f>
        <v>4.8200000000000005E-3</v>
      </c>
      <c r="J247" s="46" t="s">
        <v>31</v>
      </c>
      <c r="K247" s="46" t="s">
        <v>31</v>
      </c>
      <c r="L247" s="46" t="s">
        <v>31</v>
      </c>
      <c r="M247" s="46" t="s">
        <v>31</v>
      </c>
      <c r="P247" s="393" t="s">
        <v>1120</v>
      </c>
      <c r="Q247" s="447">
        <v>48.2</v>
      </c>
      <c r="R247" s="46" t="s">
        <v>605</v>
      </c>
      <c r="S247" s="46">
        <f>Q247*0.0001</f>
        <v>4.8200000000000005E-3</v>
      </c>
    </row>
    <row r="248" spans="1:19">
      <c r="A248" s="47" t="s">
        <v>942</v>
      </c>
      <c r="B248" s="407">
        <f>S248</f>
        <v>4.8200000000000005E-3</v>
      </c>
      <c r="C248" s="46" t="s">
        <v>113</v>
      </c>
      <c r="D248" s="46" t="s">
        <v>40</v>
      </c>
      <c r="E248" s="46" t="s">
        <v>29</v>
      </c>
      <c r="F248" s="46" t="s">
        <v>58</v>
      </c>
      <c r="G248" s="46" t="s">
        <v>33</v>
      </c>
      <c r="H248" s="46">
        <v>2</v>
      </c>
      <c r="I248" s="46">
        <f>LN(B248)</f>
        <v>-5.3349813509196284</v>
      </c>
      <c r="J248" s="46">
        <v>3.7749172176353707E-2</v>
      </c>
      <c r="K248" s="46" t="s">
        <v>31</v>
      </c>
      <c r="L248" s="46" t="s">
        <v>31</v>
      </c>
      <c r="M248" s="46" t="s">
        <v>31</v>
      </c>
      <c r="P248" s="392" t="s">
        <v>1120</v>
      </c>
      <c r="Q248" s="447">
        <v>48.2</v>
      </c>
      <c r="R248" s="46" t="s">
        <v>605</v>
      </c>
      <c r="S248" s="46">
        <f>Q248*0.0001</f>
        <v>4.8200000000000005E-3</v>
      </c>
    </row>
    <row r="249" spans="1:19" s="345" customFormat="1">
      <c r="A249" s="362" t="s">
        <v>5</v>
      </c>
      <c r="B249" s="363" t="s">
        <v>1276</v>
      </c>
    </row>
    <row r="250" spans="1:19">
      <c r="A250" s="338" t="s">
        <v>7</v>
      </c>
      <c r="B250" s="46" t="s">
        <v>779</v>
      </c>
      <c r="C250" s="337"/>
    </row>
    <row r="251" spans="1:19">
      <c r="A251" s="416" t="s">
        <v>9</v>
      </c>
      <c r="B251" s="46" t="s">
        <v>1279</v>
      </c>
      <c r="C251" s="337"/>
    </row>
    <row r="252" spans="1:19" ht="15.75" customHeight="1">
      <c r="A252" s="338" t="s">
        <v>11</v>
      </c>
      <c r="B252" s="339" t="s">
        <v>789</v>
      </c>
    </row>
    <row r="253" spans="1:19">
      <c r="A253" s="338" t="s">
        <v>13</v>
      </c>
      <c r="B253" s="46" t="s">
        <v>14</v>
      </c>
    </row>
    <row r="254" spans="1:19">
      <c r="A254" s="338" t="s">
        <v>15</v>
      </c>
      <c r="B254" s="407">
        <f>B259</f>
        <v>2.8000000000000001E-2</v>
      </c>
    </row>
    <row r="255" spans="1:19">
      <c r="A255" s="338" t="s">
        <v>16</v>
      </c>
      <c r="B255" s="46" t="s">
        <v>17</v>
      </c>
    </row>
    <row r="256" spans="1:19">
      <c r="A256" s="338" t="s">
        <v>18</v>
      </c>
      <c r="B256" s="46" t="s">
        <v>113</v>
      </c>
    </row>
    <row r="257" spans="1:18">
      <c r="A257" s="335" t="s">
        <v>19</v>
      </c>
    </row>
    <row r="258" spans="1:18">
      <c r="A258" s="336" t="s">
        <v>20</v>
      </c>
      <c r="B258" s="336" t="s">
        <v>21</v>
      </c>
      <c r="C258" s="336" t="s">
        <v>18</v>
      </c>
      <c r="D258" s="336" t="s">
        <v>22</v>
      </c>
      <c r="E258" s="336" t="s">
        <v>7</v>
      </c>
      <c r="F258" s="336" t="s">
        <v>13</v>
      </c>
      <c r="G258" s="336" t="s">
        <v>16</v>
      </c>
      <c r="H258" s="336" t="s">
        <v>23</v>
      </c>
      <c r="I258" s="336" t="s">
        <v>24</v>
      </c>
      <c r="J258" s="336" t="s">
        <v>25</v>
      </c>
      <c r="K258" s="336" t="s">
        <v>26</v>
      </c>
      <c r="L258" s="336" t="s">
        <v>27</v>
      </c>
      <c r="M258" s="336" t="s">
        <v>28</v>
      </c>
      <c r="N258" s="336" t="s">
        <v>11</v>
      </c>
    </row>
    <row r="259" spans="1:18">
      <c r="A259" s="46" t="s">
        <v>1276</v>
      </c>
      <c r="B259" s="407">
        <f>B260</f>
        <v>2.8000000000000001E-2</v>
      </c>
      <c r="C259" s="46" t="s">
        <v>113</v>
      </c>
      <c r="D259" s="400" t="s">
        <v>2</v>
      </c>
      <c r="E259" s="46" t="s">
        <v>29</v>
      </c>
      <c r="F259" s="32" t="s">
        <v>14</v>
      </c>
      <c r="G259" s="46" t="s">
        <v>30</v>
      </c>
      <c r="H259" s="46">
        <v>1</v>
      </c>
      <c r="I259" s="407">
        <f t="shared" ref="I259:I260" si="25">B259</f>
        <v>2.8000000000000001E-2</v>
      </c>
      <c r="J259" s="46" t="s">
        <v>31</v>
      </c>
      <c r="K259" s="46" t="s">
        <v>31</v>
      </c>
      <c r="L259" s="46" t="s">
        <v>31</v>
      </c>
      <c r="M259" s="46" t="s">
        <v>31</v>
      </c>
    </row>
    <row r="260" spans="1:18">
      <c r="A260" s="46" t="s">
        <v>1280</v>
      </c>
      <c r="B260" s="407">
        <f>P260</f>
        <v>2.8000000000000001E-2</v>
      </c>
      <c r="C260" s="46" t="s">
        <v>113</v>
      </c>
      <c r="D260" s="400" t="s">
        <v>2</v>
      </c>
      <c r="E260" s="46" t="s">
        <v>29</v>
      </c>
      <c r="F260" s="46" t="s">
        <v>14</v>
      </c>
      <c r="G260" s="46" t="s">
        <v>33</v>
      </c>
      <c r="H260" s="46">
        <v>1</v>
      </c>
      <c r="I260" s="407">
        <f t="shared" si="25"/>
        <v>2.8000000000000001E-2</v>
      </c>
      <c r="J260" s="46" t="s">
        <v>31</v>
      </c>
      <c r="K260" s="46" t="s">
        <v>31</v>
      </c>
      <c r="L260" s="46" t="s">
        <v>31</v>
      </c>
      <c r="M260" s="46" t="s">
        <v>31</v>
      </c>
      <c r="P260" s="407">
        <v>2.8000000000000001E-2</v>
      </c>
    </row>
    <row r="261" spans="1:18">
      <c r="A261" s="338" t="s">
        <v>75</v>
      </c>
      <c r="B261" s="342">
        <f>R261</f>
        <v>0.25</v>
      </c>
      <c r="C261" s="46" t="s">
        <v>39</v>
      </c>
      <c r="D261" s="46" t="s">
        <v>40</v>
      </c>
      <c r="E261" s="46" t="s">
        <v>29</v>
      </c>
      <c r="F261" s="32" t="s">
        <v>35</v>
      </c>
      <c r="G261" s="46" t="s">
        <v>33</v>
      </c>
      <c r="H261" s="46">
        <v>2</v>
      </c>
      <c r="I261" s="46">
        <f t="shared" ref="I261:I265" si="26">LN(B261)</f>
        <v>-1.3862943611198906</v>
      </c>
      <c r="J261" s="46">
        <v>0.20928449536456342</v>
      </c>
      <c r="K261" s="46" t="s">
        <v>31</v>
      </c>
      <c r="L261" s="46" t="s">
        <v>31</v>
      </c>
      <c r="M261" s="46" t="s">
        <v>31</v>
      </c>
      <c r="O261" s="375" t="s">
        <v>216</v>
      </c>
      <c r="P261" s="406">
        <v>0.25</v>
      </c>
      <c r="Q261" s="46" t="s">
        <v>216</v>
      </c>
      <c r="R261" s="342">
        <f>P261</f>
        <v>0.25</v>
      </c>
    </row>
    <row r="262" spans="1:18">
      <c r="A262" s="47" t="s">
        <v>791</v>
      </c>
      <c r="B262" s="46">
        <f>R262</f>
        <v>7.7000000000000002E-3</v>
      </c>
      <c r="C262" s="46" t="s">
        <v>37</v>
      </c>
      <c r="D262" s="46" t="s">
        <v>40</v>
      </c>
      <c r="E262" s="46" t="s">
        <v>29</v>
      </c>
      <c r="F262" s="32" t="s">
        <v>35</v>
      </c>
      <c r="G262" s="46" t="s">
        <v>33</v>
      </c>
      <c r="H262" s="46">
        <v>2</v>
      </c>
      <c r="I262" s="46">
        <f t="shared" si="26"/>
        <v>-4.8665349501224986</v>
      </c>
      <c r="J262" s="46">
        <v>0.20928449536456342</v>
      </c>
      <c r="K262" s="46" t="s">
        <v>31</v>
      </c>
      <c r="L262" s="46" t="s">
        <v>31</v>
      </c>
      <c r="M262" s="46" t="s">
        <v>31</v>
      </c>
      <c r="O262" s="393" t="s">
        <v>575</v>
      </c>
      <c r="P262" s="406">
        <v>7.7</v>
      </c>
      <c r="Q262" s="46" t="s">
        <v>221</v>
      </c>
      <c r="R262" s="46">
        <f>0.001*P262</f>
        <v>7.7000000000000002E-3</v>
      </c>
    </row>
    <row r="263" spans="1:18">
      <c r="A263" s="47" t="s">
        <v>546</v>
      </c>
      <c r="B263" s="46">
        <f>R263</f>
        <v>1.1999999999999999E-3</v>
      </c>
      <c r="C263" s="46" t="s">
        <v>37</v>
      </c>
      <c r="D263" s="46" t="s">
        <v>40</v>
      </c>
      <c r="E263" s="46" t="s">
        <v>29</v>
      </c>
      <c r="F263" s="32" t="s">
        <v>58</v>
      </c>
      <c r="G263" s="46" t="s">
        <v>33</v>
      </c>
      <c r="H263" s="46">
        <v>2</v>
      </c>
      <c r="I263" s="46">
        <f t="shared" si="26"/>
        <v>-6.7254337221881828</v>
      </c>
      <c r="J263" s="46">
        <v>0.20928449536456342</v>
      </c>
      <c r="K263" s="46" t="s">
        <v>31</v>
      </c>
      <c r="L263" s="46" t="s">
        <v>31</v>
      </c>
      <c r="M263" s="46" t="s">
        <v>31</v>
      </c>
      <c r="O263" s="393" t="s">
        <v>575</v>
      </c>
      <c r="P263" s="406">
        <v>1.2</v>
      </c>
      <c r="Q263" s="46" t="s">
        <v>221</v>
      </c>
      <c r="R263" s="46">
        <f>0.001*P263</f>
        <v>1.1999999999999999E-3</v>
      </c>
    </row>
    <row r="264" spans="1:18">
      <c r="A264" s="338" t="s">
        <v>792</v>
      </c>
      <c r="B264" s="46">
        <f>R264</f>
        <v>3.7999999999999999E-2</v>
      </c>
      <c r="C264" s="46" t="s">
        <v>37</v>
      </c>
      <c r="D264" s="46" t="s">
        <v>40</v>
      </c>
      <c r="E264" s="46" t="s">
        <v>29</v>
      </c>
      <c r="F264" s="32" t="s">
        <v>741</v>
      </c>
      <c r="G264" s="46" t="s">
        <v>33</v>
      </c>
      <c r="H264" s="46">
        <v>2</v>
      </c>
      <c r="I264" s="46">
        <f t="shared" si="26"/>
        <v>-3.2701691192557512</v>
      </c>
      <c r="J264" s="46">
        <v>0.20928449536456342</v>
      </c>
      <c r="K264" s="46" t="s">
        <v>31</v>
      </c>
      <c r="L264" s="46" t="s">
        <v>31</v>
      </c>
      <c r="M264" s="46" t="s">
        <v>31</v>
      </c>
      <c r="O264" s="393" t="s">
        <v>575</v>
      </c>
      <c r="P264" s="406">
        <v>38</v>
      </c>
      <c r="Q264" s="46" t="s">
        <v>221</v>
      </c>
      <c r="R264" s="46">
        <f>0.001*P264</f>
        <v>3.7999999999999999E-2</v>
      </c>
    </row>
    <row r="265" spans="1:18">
      <c r="A265" s="46" t="s">
        <v>777</v>
      </c>
      <c r="B265" s="46">
        <f>R265</f>
        <v>8.8999999999999999E-3</v>
      </c>
      <c r="C265" s="46" t="s">
        <v>37</v>
      </c>
      <c r="D265" s="400" t="s">
        <v>2</v>
      </c>
      <c r="E265" s="46" t="s">
        <v>29</v>
      </c>
      <c r="F265" s="32" t="s">
        <v>741</v>
      </c>
      <c r="G265" s="46" t="s">
        <v>33</v>
      </c>
      <c r="H265" s="46">
        <v>2</v>
      </c>
      <c r="I265" s="46">
        <f t="shared" si="26"/>
        <v>-4.7217040022440431</v>
      </c>
      <c r="J265" s="46">
        <v>0.20928449536456342</v>
      </c>
      <c r="K265" s="46" t="s">
        <v>31</v>
      </c>
      <c r="L265" s="46" t="s">
        <v>31</v>
      </c>
      <c r="M265" s="46" t="s">
        <v>31</v>
      </c>
      <c r="O265" s="439" t="s">
        <v>575</v>
      </c>
      <c r="P265" s="411">
        <v>8.9</v>
      </c>
      <c r="Q265" s="46" t="s">
        <v>221</v>
      </c>
      <c r="R265" s="46">
        <f>0.001*P265</f>
        <v>8.8999999999999999E-3</v>
      </c>
    </row>
    <row r="266" spans="1:18" s="345" customFormat="1">
      <c r="A266" s="362" t="s">
        <v>5</v>
      </c>
      <c r="B266" s="363" t="s">
        <v>1280</v>
      </c>
    </row>
    <row r="267" spans="1:18">
      <c r="A267" s="338" t="s">
        <v>7</v>
      </c>
      <c r="B267" s="46" t="s">
        <v>779</v>
      </c>
      <c r="C267" s="337"/>
    </row>
    <row r="268" spans="1:18">
      <c r="A268" s="416" t="s">
        <v>9</v>
      </c>
      <c r="B268" s="46" t="s">
        <v>1281</v>
      </c>
      <c r="C268" s="337"/>
    </row>
    <row r="269" spans="1:18" ht="15.75" customHeight="1">
      <c r="A269" s="338" t="s">
        <v>11</v>
      </c>
      <c r="B269" s="339" t="s">
        <v>789</v>
      </c>
    </row>
    <row r="270" spans="1:18">
      <c r="A270" s="338" t="s">
        <v>13</v>
      </c>
      <c r="B270" s="46" t="s">
        <v>14</v>
      </c>
    </row>
    <row r="271" spans="1:18">
      <c r="A271" s="338" t="s">
        <v>15</v>
      </c>
      <c r="B271" s="407">
        <f>B276</f>
        <v>2.8000000000000001E-2</v>
      </c>
    </row>
    <row r="272" spans="1:18">
      <c r="A272" s="338" t="s">
        <v>16</v>
      </c>
      <c r="B272" s="46" t="s">
        <v>17</v>
      </c>
    </row>
    <row r="273" spans="1:18">
      <c r="A273" s="338" t="s">
        <v>18</v>
      </c>
      <c r="B273" s="46" t="s">
        <v>113</v>
      </c>
    </row>
    <row r="274" spans="1:18">
      <c r="A274" s="335" t="s">
        <v>19</v>
      </c>
    </row>
    <row r="275" spans="1:18">
      <c r="A275" s="336" t="s">
        <v>20</v>
      </c>
      <c r="B275" s="336" t="s">
        <v>21</v>
      </c>
      <c r="C275" s="336" t="s">
        <v>18</v>
      </c>
      <c r="D275" s="336" t="s">
        <v>22</v>
      </c>
      <c r="E275" s="336" t="s">
        <v>7</v>
      </c>
      <c r="F275" s="336" t="s">
        <v>13</v>
      </c>
      <c r="G275" s="336" t="s">
        <v>16</v>
      </c>
      <c r="H275" s="336" t="s">
        <v>23</v>
      </c>
      <c r="I275" s="336" t="s">
        <v>24</v>
      </c>
      <c r="J275" s="336" t="s">
        <v>25</v>
      </c>
      <c r="K275" s="336" t="s">
        <v>26</v>
      </c>
      <c r="L275" s="336" t="s">
        <v>27</v>
      </c>
      <c r="M275" s="336" t="s">
        <v>28</v>
      </c>
      <c r="N275" s="336" t="s">
        <v>11</v>
      </c>
    </row>
    <row r="276" spans="1:18">
      <c r="A276" s="46" t="s">
        <v>1280</v>
      </c>
      <c r="B276" s="407">
        <f>P277</f>
        <v>2.8000000000000001E-2</v>
      </c>
      <c r="C276" s="46" t="s">
        <v>113</v>
      </c>
      <c r="D276" s="400" t="s">
        <v>2</v>
      </c>
      <c r="E276" s="46" t="s">
        <v>29</v>
      </c>
      <c r="F276" s="46" t="s">
        <v>14</v>
      </c>
      <c r="G276" s="46" t="s">
        <v>30</v>
      </c>
      <c r="H276" s="46">
        <v>1</v>
      </c>
      <c r="I276" s="407">
        <f t="shared" ref="I276:I277" si="27">B276</f>
        <v>2.8000000000000001E-2</v>
      </c>
      <c r="J276" s="46" t="s">
        <v>31</v>
      </c>
      <c r="K276" s="46" t="s">
        <v>31</v>
      </c>
      <c r="L276" s="46" t="s">
        <v>31</v>
      </c>
      <c r="M276" s="46" t="s">
        <v>31</v>
      </c>
    </row>
    <row r="277" spans="1:18">
      <c r="A277" s="46" t="s">
        <v>1282</v>
      </c>
      <c r="B277" s="407">
        <f>P277</f>
        <v>2.8000000000000001E-2</v>
      </c>
      <c r="C277" s="46" t="s">
        <v>113</v>
      </c>
      <c r="D277" s="400" t="s">
        <v>2</v>
      </c>
      <c r="E277" s="46" t="s">
        <v>29</v>
      </c>
      <c r="F277" s="46" t="s">
        <v>14</v>
      </c>
      <c r="G277" s="46" t="s">
        <v>33</v>
      </c>
      <c r="H277" s="46">
        <v>1</v>
      </c>
      <c r="I277" s="407">
        <f t="shared" si="27"/>
        <v>2.8000000000000001E-2</v>
      </c>
      <c r="J277" s="46" t="s">
        <v>31</v>
      </c>
      <c r="K277" s="46" t="s">
        <v>31</v>
      </c>
      <c r="L277" s="46" t="s">
        <v>31</v>
      </c>
      <c r="M277" s="46" t="s">
        <v>31</v>
      </c>
      <c r="P277" s="462">
        <v>2.8000000000000001E-2</v>
      </c>
    </row>
    <row r="278" spans="1:18">
      <c r="A278" s="338" t="s">
        <v>75</v>
      </c>
      <c r="B278" s="342">
        <f>P278</f>
        <v>5.34</v>
      </c>
      <c r="C278" s="46" t="s">
        <v>39</v>
      </c>
      <c r="D278" s="46" t="s">
        <v>40</v>
      </c>
      <c r="E278" s="46" t="s">
        <v>29</v>
      </c>
      <c r="F278" s="32" t="s">
        <v>35</v>
      </c>
      <c r="G278" s="46" t="s">
        <v>33</v>
      </c>
      <c r="H278" s="46">
        <v>2</v>
      </c>
      <c r="I278" s="46">
        <f t="shared" ref="I278:I279" si="28">LN(B278)</f>
        <v>1.6752256529721035</v>
      </c>
      <c r="J278" s="46">
        <v>0.20928449536456342</v>
      </c>
      <c r="K278" s="46" t="s">
        <v>31</v>
      </c>
      <c r="L278" s="46" t="s">
        <v>31</v>
      </c>
      <c r="M278" s="46" t="s">
        <v>31</v>
      </c>
      <c r="O278" s="393" t="s">
        <v>216</v>
      </c>
      <c r="P278" s="406">
        <f>3.68+1.66</f>
        <v>5.34</v>
      </c>
    </row>
    <row r="279" spans="1:18">
      <c r="A279" s="338" t="s">
        <v>792</v>
      </c>
      <c r="B279" s="342">
        <f>R279</f>
        <v>1.0699999999999999E-2</v>
      </c>
      <c r="C279" s="46" t="s">
        <v>37</v>
      </c>
      <c r="D279" s="46" t="s">
        <v>40</v>
      </c>
      <c r="E279" s="46" t="s">
        <v>29</v>
      </c>
      <c r="F279" s="32" t="s">
        <v>741</v>
      </c>
      <c r="G279" s="46" t="s">
        <v>33</v>
      </c>
      <c r="H279" s="46">
        <v>2</v>
      </c>
      <c r="I279" s="46">
        <f t="shared" si="28"/>
        <v>-4.5375115375142769</v>
      </c>
      <c r="J279" s="46">
        <v>0.20928449536456342</v>
      </c>
      <c r="K279" s="46" t="s">
        <v>31</v>
      </c>
      <c r="L279" s="46" t="s">
        <v>31</v>
      </c>
      <c r="M279" s="46" t="s">
        <v>31</v>
      </c>
      <c r="O279" s="393" t="s">
        <v>575</v>
      </c>
      <c r="P279" s="406">
        <v>10.7</v>
      </c>
      <c r="Q279" s="46" t="s">
        <v>221</v>
      </c>
      <c r="R279" s="46">
        <f>P279*0.001</f>
        <v>1.0699999999999999E-2</v>
      </c>
    </row>
    <row r="280" spans="1:18">
      <c r="A280" s="47" t="s">
        <v>530</v>
      </c>
      <c r="B280" s="342">
        <f>R280</f>
        <v>1.3100000000000001E-2</v>
      </c>
      <c r="C280" s="46" t="s">
        <v>37</v>
      </c>
      <c r="D280" s="46" t="s">
        <v>40</v>
      </c>
      <c r="E280" s="46" t="s">
        <v>29</v>
      </c>
      <c r="F280" s="46" t="s">
        <v>35</v>
      </c>
      <c r="G280" s="46" t="s">
        <v>33</v>
      </c>
      <c r="H280" s="46">
        <v>2</v>
      </c>
      <c r="I280" s="46">
        <f>LN(B280)</f>
        <v>-4.3351430487750315</v>
      </c>
      <c r="J280" s="46">
        <v>0.20928449536456342</v>
      </c>
      <c r="K280" s="46" t="s">
        <v>31</v>
      </c>
      <c r="L280" s="46" t="s">
        <v>31</v>
      </c>
      <c r="M280" s="46" t="s">
        <v>31</v>
      </c>
      <c r="O280" s="393" t="s">
        <v>575</v>
      </c>
      <c r="P280" s="406">
        <v>13.1</v>
      </c>
      <c r="Q280" s="46" t="s">
        <v>221</v>
      </c>
      <c r="R280" s="46">
        <f>P280*0.001</f>
        <v>1.3100000000000001E-2</v>
      </c>
    </row>
    <row r="281" spans="1:18">
      <c r="A281" s="46" t="s">
        <v>777</v>
      </c>
      <c r="B281" s="342">
        <f>R281</f>
        <v>1.3100000000000001E-2</v>
      </c>
      <c r="C281" s="46" t="s">
        <v>37</v>
      </c>
      <c r="D281" s="400" t="s">
        <v>2</v>
      </c>
      <c r="E281" s="46" t="s">
        <v>29</v>
      </c>
      <c r="F281" s="32" t="s">
        <v>741</v>
      </c>
      <c r="G281" s="46" t="s">
        <v>33</v>
      </c>
      <c r="H281" s="46">
        <v>2</v>
      </c>
      <c r="I281" s="46">
        <f t="shared" ref="I281" si="29">LN(B281)</f>
        <v>-4.3351430487750315</v>
      </c>
      <c r="J281" s="46">
        <v>0.20928449536456342</v>
      </c>
      <c r="K281" s="46" t="s">
        <v>31</v>
      </c>
      <c r="L281" s="46" t="s">
        <v>31</v>
      </c>
      <c r="M281" s="46" t="s">
        <v>31</v>
      </c>
      <c r="O281" s="439" t="s">
        <v>575</v>
      </c>
      <c r="P281" s="411">
        <v>13.1</v>
      </c>
      <c r="Q281" s="46" t="s">
        <v>221</v>
      </c>
      <c r="R281" s="46">
        <f>0.001*P281</f>
        <v>1.3100000000000001E-2</v>
      </c>
    </row>
    <row r="282" spans="1:18" s="345" customFormat="1">
      <c r="A282" s="362" t="s">
        <v>5</v>
      </c>
      <c r="B282" s="363" t="s">
        <v>1282</v>
      </c>
      <c r="P282" s="429"/>
    </row>
    <row r="283" spans="1:18">
      <c r="A283" s="338" t="s">
        <v>7</v>
      </c>
      <c r="B283" s="46" t="s">
        <v>779</v>
      </c>
      <c r="C283" s="337"/>
    </row>
    <row r="284" spans="1:18">
      <c r="A284" s="416" t="s">
        <v>9</v>
      </c>
      <c r="B284" s="46" t="s">
        <v>1283</v>
      </c>
      <c r="C284" s="337"/>
    </row>
    <row r="285" spans="1:18" ht="15.75" customHeight="1">
      <c r="A285" s="338" t="s">
        <v>11</v>
      </c>
      <c r="B285" s="339" t="s">
        <v>789</v>
      </c>
    </row>
    <row r="286" spans="1:18">
      <c r="A286" s="338" t="s">
        <v>13</v>
      </c>
      <c r="B286" s="46" t="s">
        <v>14</v>
      </c>
    </row>
    <row r="287" spans="1:18">
      <c r="A287" s="338" t="s">
        <v>15</v>
      </c>
      <c r="B287" s="407">
        <f>B292</f>
        <v>0.05</v>
      </c>
    </row>
    <row r="288" spans="1:18">
      <c r="A288" s="338" t="s">
        <v>16</v>
      </c>
      <c r="B288" s="46" t="s">
        <v>17</v>
      </c>
      <c r="R288" s="336" t="s">
        <v>880</v>
      </c>
    </row>
    <row r="289" spans="1:21">
      <c r="A289" s="338" t="s">
        <v>18</v>
      </c>
      <c r="B289" s="46" t="s">
        <v>113</v>
      </c>
      <c r="R289" s="46" t="s">
        <v>881</v>
      </c>
      <c r="S289" s="46">
        <v>8900</v>
      </c>
      <c r="T289" s="46" t="s">
        <v>882</v>
      </c>
    </row>
    <row r="290" spans="1:21">
      <c r="A290" s="335" t="s">
        <v>19</v>
      </c>
      <c r="R290" s="46" t="s">
        <v>883</v>
      </c>
      <c r="S290" s="46">
        <f>5*10^-6</f>
        <v>4.9999999999999996E-6</v>
      </c>
      <c r="T290" s="46" t="s">
        <v>884</v>
      </c>
    </row>
    <row r="291" spans="1:21">
      <c r="A291" s="336" t="s">
        <v>20</v>
      </c>
      <c r="B291" s="336" t="s">
        <v>21</v>
      </c>
      <c r="C291" s="336" t="s">
        <v>18</v>
      </c>
      <c r="D291" s="336" t="s">
        <v>22</v>
      </c>
      <c r="E291" s="336" t="s">
        <v>7</v>
      </c>
      <c r="F291" s="336" t="s">
        <v>13</v>
      </c>
      <c r="G291" s="336" t="s">
        <v>16</v>
      </c>
      <c r="H291" s="336" t="s">
        <v>23</v>
      </c>
      <c r="I291" s="336" t="s">
        <v>24</v>
      </c>
      <c r="J291" s="336" t="s">
        <v>25</v>
      </c>
      <c r="K291" s="336" t="s">
        <v>26</v>
      </c>
      <c r="L291" s="336" t="s">
        <v>27</v>
      </c>
      <c r="M291" s="336" t="s">
        <v>28</v>
      </c>
      <c r="N291" s="336" t="s">
        <v>11</v>
      </c>
      <c r="R291" s="419" t="s">
        <v>885</v>
      </c>
      <c r="S291" s="420">
        <f>S290*S289</f>
        <v>4.4499999999999998E-2</v>
      </c>
      <c r="T291" s="421" t="s">
        <v>886</v>
      </c>
    </row>
    <row r="292" spans="1:21">
      <c r="A292" s="46" t="s">
        <v>1282</v>
      </c>
      <c r="B292" s="407">
        <v>0.05</v>
      </c>
      <c r="C292" s="46" t="s">
        <v>113</v>
      </c>
      <c r="D292" s="400" t="s">
        <v>2</v>
      </c>
      <c r="E292" s="46" t="s">
        <v>29</v>
      </c>
      <c r="F292" s="46" t="s">
        <v>14</v>
      </c>
      <c r="G292" s="46" t="s">
        <v>30</v>
      </c>
      <c r="H292" s="46">
        <v>1</v>
      </c>
      <c r="I292" s="407">
        <f t="shared" ref="I292:I294" si="30">B292</f>
        <v>0.05</v>
      </c>
      <c r="J292" s="46" t="s">
        <v>31</v>
      </c>
      <c r="K292" s="46" t="s">
        <v>31</v>
      </c>
      <c r="L292" s="46" t="s">
        <v>31</v>
      </c>
      <c r="M292" s="46" t="s">
        <v>31</v>
      </c>
      <c r="O292" s="393" t="s">
        <v>887</v>
      </c>
      <c r="P292" s="406">
        <f>B292*100</f>
        <v>5</v>
      </c>
    </row>
    <row r="293" spans="1:21">
      <c r="A293" s="46" t="s">
        <v>1284</v>
      </c>
      <c r="B293" s="407">
        <v>0.05</v>
      </c>
      <c r="C293" s="46" t="s">
        <v>113</v>
      </c>
      <c r="D293" s="400" t="s">
        <v>2</v>
      </c>
      <c r="E293" s="46" t="s">
        <v>29</v>
      </c>
      <c r="F293" s="46" t="s">
        <v>14</v>
      </c>
      <c r="G293" s="46" t="s">
        <v>33</v>
      </c>
      <c r="H293" s="46">
        <v>1</v>
      </c>
      <c r="I293" s="407">
        <f t="shared" si="30"/>
        <v>0.05</v>
      </c>
      <c r="J293" s="46">
        <v>7.2284161474004766E-2</v>
      </c>
      <c r="K293" s="46" t="s">
        <v>31</v>
      </c>
      <c r="L293" s="46" t="s">
        <v>31</v>
      </c>
      <c r="M293" s="46" t="s">
        <v>31</v>
      </c>
      <c r="O293" s="393" t="s">
        <v>887</v>
      </c>
      <c r="P293" s="406">
        <f>B293*100</f>
        <v>5</v>
      </c>
      <c r="R293" s="46" t="s">
        <v>548</v>
      </c>
      <c r="U293" s="402"/>
    </row>
    <row r="294" spans="1:21">
      <c r="A294" s="62" t="s">
        <v>1226</v>
      </c>
      <c r="B294" s="412">
        <f>T294</f>
        <v>5.2509999999999994E-2</v>
      </c>
      <c r="C294" s="46" t="s">
        <v>37</v>
      </c>
      <c r="D294" s="400" t="s">
        <v>2</v>
      </c>
      <c r="E294" s="46" t="s">
        <v>29</v>
      </c>
      <c r="F294" s="32" t="s">
        <v>14</v>
      </c>
      <c r="G294" s="46" t="s">
        <v>33</v>
      </c>
      <c r="H294" s="46">
        <v>1</v>
      </c>
      <c r="I294" s="407">
        <f t="shared" si="30"/>
        <v>5.2509999999999994E-2</v>
      </c>
      <c r="J294" s="46">
        <v>7.2284161474004766E-2</v>
      </c>
      <c r="K294" s="46" t="s">
        <v>31</v>
      </c>
      <c r="L294" s="46" t="s">
        <v>31</v>
      </c>
      <c r="M294" s="46" t="s">
        <v>31</v>
      </c>
      <c r="O294" s="424"/>
      <c r="P294" s="425"/>
      <c r="R294" s="422">
        <v>1.18</v>
      </c>
      <c r="S294" s="423" t="s">
        <v>605</v>
      </c>
      <c r="T294" s="422">
        <f>R294*S291</f>
        <v>5.2509999999999994E-2</v>
      </c>
      <c r="U294" s="423" t="s">
        <v>221</v>
      </c>
    </row>
    <row r="295" spans="1:21">
      <c r="A295" s="338" t="s">
        <v>792</v>
      </c>
      <c r="B295" s="46">
        <f>P295</f>
        <v>9.5</v>
      </c>
      <c r="C295" s="46" t="s">
        <v>37</v>
      </c>
      <c r="D295" s="46" t="s">
        <v>40</v>
      </c>
      <c r="E295" s="46" t="s">
        <v>29</v>
      </c>
      <c r="F295" s="32" t="s">
        <v>741</v>
      </c>
      <c r="G295" s="46" t="s">
        <v>33</v>
      </c>
      <c r="H295" s="46">
        <v>2</v>
      </c>
      <c r="I295" s="46">
        <f t="shared" ref="I295" si="31">LN(B295)</f>
        <v>2.2512917986064953</v>
      </c>
      <c r="J295" s="46">
        <v>7.2284161474004766E-2</v>
      </c>
      <c r="K295" s="46" t="s">
        <v>31</v>
      </c>
      <c r="L295" s="46" t="s">
        <v>31</v>
      </c>
      <c r="M295" s="46" t="s">
        <v>31</v>
      </c>
      <c r="O295" s="393" t="s">
        <v>221</v>
      </c>
      <c r="P295" s="406">
        <v>9.5</v>
      </c>
    </row>
    <row r="296" spans="1:21">
      <c r="A296" s="47" t="s">
        <v>869</v>
      </c>
      <c r="B296" s="342">
        <f>R296</f>
        <v>4.9999999999999998E-7</v>
      </c>
      <c r="C296" s="46" t="s">
        <v>37</v>
      </c>
      <c r="D296" s="46" t="s">
        <v>40</v>
      </c>
      <c r="E296" s="46" t="s">
        <v>29</v>
      </c>
      <c r="F296" s="32" t="s">
        <v>58</v>
      </c>
      <c r="G296" s="46" t="s">
        <v>33</v>
      </c>
      <c r="H296" s="46">
        <v>2</v>
      </c>
      <c r="I296" s="46">
        <f>LN(B296)</f>
        <v>-14.508657738524219</v>
      </c>
      <c r="J296" s="46">
        <v>7.2284161474004766E-2</v>
      </c>
      <c r="K296" s="46" t="s">
        <v>31</v>
      </c>
      <c r="L296" s="46" t="s">
        <v>31</v>
      </c>
      <c r="M296" s="46" t="s">
        <v>31</v>
      </c>
      <c r="O296" s="408" t="s">
        <v>523</v>
      </c>
      <c r="P296" s="431">
        <v>0.5</v>
      </c>
      <c r="Q296" s="393" t="s">
        <v>221</v>
      </c>
      <c r="R296" s="46">
        <f>P296*0.000001</f>
        <v>4.9999999999999998E-7</v>
      </c>
    </row>
    <row r="297" spans="1:21">
      <c r="A297" s="47" t="s">
        <v>226</v>
      </c>
      <c r="B297" s="46">
        <f>R297</f>
        <v>9.4999999999999998E-3</v>
      </c>
      <c r="C297" s="46" t="s">
        <v>42</v>
      </c>
      <c r="D297" s="46" t="s">
        <v>40</v>
      </c>
      <c r="E297" s="46" t="s">
        <v>29</v>
      </c>
      <c r="F297" s="32" t="s">
        <v>741</v>
      </c>
      <c r="G297" s="46" t="s">
        <v>33</v>
      </c>
      <c r="H297" s="46">
        <v>2</v>
      </c>
      <c r="I297" s="46">
        <f t="shared" ref="I297" si="32">LN(B297)</f>
        <v>-4.656463480375642</v>
      </c>
      <c r="J297" s="46">
        <v>7.2284161474004766E-2</v>
      </c>
      <c r="K297" s="46" t="s">
        <v>31</v>
      </c>
      <c r="L297" s="46" t="s">
        <v>31</v>
      </c>
      <c r="M297" s="46" t="s">
        <v>31</v>
      </c>
      <c r="O297" s="410" t="s">
        <v>858</v>
      </c>
      <c r="P297" s="411">
        <v>9.5</v>
      </c>
      <c r="Q297" s="46" t="s">
        <v>219</v>
      </c>
      <c r="R297" s="46">
        <f>P297*0.001</f>
        <v>9.4999999999999998E-3</v>
      </c>
    </row>
    <row r="298" spans="1:21" s="345" customFormat="1">
      <c r="A298" s="362" t="s">
        <v>5</v>
      </c>
      <c r="B298" s="363" t="s">
        <v>1284</v>
      </c>
    </row>
    <row r="299" spans="1:21">
      <c r="A299" s="338" t="s">
        <v>7</v>
      </c>
      <c r="B299" s="46" t="s">
        <v>779</v>
      </c>
      <c r="C299" s="337"/>
    </row>
    <row r="300" spans="1:21">
      <c r="A300" s="416" t="s">
        <v>9</v>
      </c>
      <c r="B300" s="46" t="s">
        <v>1285</v>
      </c>
      <c r="C300" s="337"/>
    </row>
    <row r="301" spans="1:21" ht="15.75" customHeight="1">
      <c r="A301" s="338" t="s">
        <v>11</v>
      </c>
      <c r="B301" s="339" t="s">
        <v>789</v>
      </c>
    </row>
    <row r="302" spans="1:21">
      <c r="A302" s="338" t="s">
        <v>13</v>
      </c>
      <c r="B302" s="46" t="s">
        <v>14</v>
      </c>
    </row>
    <row r="303" spans="1:21">
      <c r="A303" s="338" t="s">
        <v>15</v>
      </c>
      <c r="B303" s="407">
        <f>B308</f>
        <v>2.8000000000000001E-2</v>
      </c>
    </row>
    <row r="304" spans="1:21">
      <c r="A304" s="338" t="s">
        <v>16</v>
      </c>
      <c r="B304" s="46" t="s">
        <v>17</v>
      </c>
    </row>
    <row r="305" spans="1:20">
      <c r="A305" s="338" t="s">
        <v>18</v>
      </c>
      <c r="B305" s="46" t="s">
        <v>113</v>
      </c>
    </row>
    <row r="306" spans="1:20">
      <c r="A306" s="335" t="s">
        <v>19</v>
      </c>
    </row>
    <row r="307" spans="1:20">
      <c r="A307" s="336" t="s">
        <v>20</v>
      </c>
      <c r="B307" s="336" t="s">
        <v>21</v>
      </c>
      <c r="C307" s="336" t="s">
        <v>18</v>
      </c>
      <c r="D307" s="336" t="s">
        <v>22</v>
      </c>
      <c r="E307" s="336" t="s">
        <v>7</v>
      </c>
      <c r="F307" s="336" t="s">
        <v>13</v>
      </c>
      <c r="G307" s="336" t="s">
        <v>16</v>
      </c>
      <c r="H307" s="336" t="s">
        <v>23</v>
      </c>
      <c r="I307" s="336" t="s">
        <v>24</v>
      </c>
      <c r="J307" s="336" t="s">
        <v>25</v>
      </c>
      <c r="K307" s="336" t="s">
        <v>26</v>
      </c>
      <c r="L307" s="336" t="s">
        <v>27</v>
      </c>
      <c r="M307" s="336" t="s">
        <v>28</v>
      </c>
      <c r="N307" s="336" t="s">
        <v>11</v>
      </c>
      <c r="T307" s="407"/>
    </row>
    <row r="308" spans="1:20">
      <c r="A308" s="46" t="s">
        <v>1284</v>
      </c>
      <c r="B308" s="407">
        <f t="shared" ref="B308:B318" si="33">P308</f>
        <v>2.8000000000000001E-2</v>
      </c>
      <c r="C308" s="46" t="s">
        <v>113</v>
      </c>
      <c r="D308" s="400" t="s">
        <v>2</v>
      </c>
      <c r="E308" s="46" t="s">
        <v>29</v>
      </c>
      <c r="F308" s="46" t="s">
        <v>14</v>
      </c>
      <c r="G308" s="46" t="s">
        <v>30</v>
      </c>
      <c r="H308" s="46">
        <v>1</v>
      </c>
      <c r="I308" s="407">
        <f t="shared" ref="I308:I309" si="34">B308</f>
        <v>2.8000000000000001E-2</v>
      </c>
      <c r="J308" s="46" t="s">
        <v>31</v>
      </c>
      <c r="K308" s="46" t="s">
        <v>31</v>
      </c>
      <c r="L308" s="46" t="s">
        <v>31</v>
      </c>
      <c r="M308" s="46" t="s">
        <v>31</v>
      </c>
      <c r="P308" s="461">
        <v>2.8000000000000001E-2</v>
      </c>
    </row>
    <row r="309" spans="1:20">
      <c r="A309" s="46" t="s">
        <v>1286</v>
      </c>
      <c r="B309" s="407">
        <f t="shared" si="33"/>
        <v>2.8000000000000001E-2</v>
      </c>
      <c r="C309" s="46" t="s">
        <v>113</v>
      </c>
      <c r="D309" s="400" t="s">
        <v>2</v>
      </c>
      <c r="E309" s="46" t="s">
        <v>29</v>
      </c>
      <c r="F309" s="46" t="s">
        <v>14</v>
      </c>
      <c r="G309" s="46" t="s">
        <v>33</v>
      </c>
      <c r="H309" s="46">
        <v>1</v>
      </c>
      <c r="I309" s="407">
        <f t="shared" si="34"/>
        <v>2.8000000000000001E-2</v>
      </c>
      <c r="J309" s="46" t="s">
        <v>31</v>
      </c>
      <c r="K309" s="46" t="s">
        <v>31</v>
      </c>
      <c r="L309" s="46" t="s">
        <v>31</v>
      </c>
      <c r="M309" s="46" t="s">
        <v>31</v>
      </c>
      <c r="P309" s="461">
        <v>2.8000000000000001E-2</v>
      </c>
    </row>
    <row r="310" spans="1:20">
      <c r="A310" s="338" t="s">
        <v>75</v>
      </c>
      <c r="B310" s="342">
        <f t="shared" si="33"/>
        <v>0.36</v>
      </c>
      <c r="C310" s="46" t="s">
        <v>39</v>
      </c>
      <c r="D310" s="46" t="s">
        <v>40</v>
      </c>
      <c r="E310" s="46" t="s">
        <v>29</v>
      </c>
      <c r="F310" s="32" t="s">
        <v>35</v>
      </c>
      <c r="G310" s="46" t="s">
        <v>33</v>
      </c>
      <c r="H310" s="46">
        <v>2</v>
      </c>
      <c r="I310" s="46">
        <f t="shared" ref="I310" si="35">LN(B310)</f>
        <v>-1.0216512475319814</v>
      </c>
      <c r="J310" s="46">
        <v>0.22500000000000006</v>
      </c>
      <c r="K310" s="46" t="s">
        <v>31</v>
      </c>
      <c r="L310" s="46" t="s">
        <v>31</v>
      </c>
      <c r="M310" s="46" t="s">
        <v>31</v>
      </c>
      <c r="O310" s="393" t="s">
        <v>216</v>
      </c>
      <c r="P310" s="406">
        <v>0.36</v>
      </c>
    </row>
    <row r="311" spans="1:20">
      <c r="A311" s="47" t="s">
        <v>683</v>
      </c>
      <c r="B311" s="407">
        <f t="shared" si="33"/>
        <v>1.67E-2</v>
      </c>
      <c r="C311" s="46" t="s">
        <v>37</v>
      </c>
      <c r="D311" s="46" t="s">
        <v>40</v>
      </c>
      <c r="E311" s="46" t="s">
        <v>29</v>
      </c>
      <c r="F311" s="46" t="s">
        <v>35</v>
      </c>
      <c r="G311" s="46" t="s">
        <v>33</v>
      </c>
      <c r="H311" s="46">
        <v>2</v>
      </c>
      <c r="I311" s="46">
        <f>LN(B311)</f>
        <v>-4.0923465595594273</v>
      </c>
      <c r="J311" s="46">
        <v>0.22500000000000006</v>
      </c>
      <c r="K311" s="46" t="s">
        <v>31</v>
      </c>
      <c r="L311" s="46" t="s">
        <v>31</v>
      </c>
      <c r="M311" s="46" t="s">
        <v>31</v>
      </c>
      <c r="O311" s="393" t="s">
        <v>221</v>
      </c>
      <c r="P311" s="444">
        <v>1.67E-2</v>
      </c>
    </row>
    <row r="312" spans="1:20">
      <c r="A312" s="46" t="s">
        <v>952</v>
      </c>
      <c r="B312" s="407">
        <f t="shared" si="33"/>
        <v>3.6200000000000003E-2</v>
      </c>
      <c r="C312" s="46" t="s">
        <v>37</v>
      </c>
      <c r="D312" s="46" t="s">
        <v>40</v>
      </c>
      <c r="E312" s="46" t="s">
        <v>29</v>
      </c>
      <c r="F312" s="46" t="s">
        <v>58</v>
      </c>
      <c r="G312" s="46" t="s">
        <v>33</v>
      </c>
      <c r="H312" s="46">
        <v>2</v>
      </c>
      <c r="I312" s="46">
        <f t="shared" ref="I312:I318" si="36">LN(B312)</f>
        <v>-3.3186961601504117</v>
      </c>
      <c r="J312" s="46">
        <v>0.22500000000000006</v>
      </c>
      <c r="K312" s="46" t="s">
        <v>31</v>
      </c>
      <c r="L312" s="46" t="s">
        <v>31</v>
      </c>
      <c r="M312" s="46" t="s">
        <v>31</v>
      </c>
      <c r="O312" s="393" t="s">
        <v>221</v>
      </c>
      <c r="P312" s="444">
        <v>3.6200000000000003E-2</v>
      </c>
    </row>
    <row r="313" spans="1:20">
      <c r="A313" s="47" t="s">
        <v>530</v>
      </c>
      <c r="B313" s="407">
        <f t="shared" si="33"/>
        <v>1.67E-2</v>
      </c>
      <c r="C313" s="46" t="s">
        <v>37</v>
      </c>
      <c r="D313" s="46" t="s">
        <v>40</v>
      </c>
      <c r="E313" s="46" t="s">
        <v>29</v>
      </c>
      <c r="F313" s="46" t="s">
        <v>35</v>
      </c>
      <c r="G313" s="46" t="s">
        <v>33</v>
      </c>
      <c r="H313" s="46">
        <v>2</v>
      </c>
      <c r="I313" s="46">
        <f t="shared" si="36"/>
        <v>-4.0923465595594273</v>
      </c>
      <c r="J313" s="46">
        <v>0.22500000000000006</v>
      </c>
      <c r="K313" s="46" t="s">
        <v>31</v>
      </c>
      <c r="L313" s="46" t="s">
        <v>31</v>
      </c>
      <c r="M313" s="46" t="s">
        <v>31</v>
      </c>
      <c r="O313" s="393" t="s">
        <v>221</v>
      </c>
      <c r="P313" s="444">
        <v>1.67E-2</v>
      </c>
    </row>
    <row r="314" spans="1:20">
      <c r="A314" s="47" t="s">
        <v>953</v>
      </c>
      <c r="B314" s="407">
        <f t="shared" si="33"/>
        <v>1.2500000000000001E-2</v>
      </c>
      <c r="C314" s="46" t="s">
        <v>37</v>
      </c>
      <c r="D314" s="46" t="s">
        <v>40</v>
      </c>
      <c r="E314" s="46" t="s">
        <v>29</v>
      </c>
      <c r="F314" s="46" t="s">
        <v>58</v>
      </c>
      <c r="G314" s="46" t="s">
        <v>33</v>
      </c>
      <c r="H314" s="46">
        <v>2</v>
      </c>
      <c r="I314" s="46">
        <f t="shared" si="36"/>
        <v>-4.3820266346738812</v>
      </c>
      <c r="J314" s="46">
        <v>0.22500000000000006</v>
      </c>
      <c r="K314" s="46" t="s">
        <v>31</v>
      </c>
      <c r="L314" s="46" t="s">
        <v>31</v>
      </c>
      <c r="M314" s="46" t="s">
        <v>31</v>
      </c>
      <c r="O314" s="393" t="s">
        <v>221</v>
      </c>
      <c r="P314" s="444">
        <v>1.2500000000000001E-2</v>
      </c>
    </row>
    <row r="315" spans="1:20">
      <c r="A315" s="47" t="s">
        <v>954</v>
      </c>
      <c r="B315" s="407">
        <f t="shared" si="33"/>
        <v>3.6200000000000003E-2</v>
      </c>
      <c r="C315" s="46" t="s">
        <v>37</v>
      </c>
      <c r="D315" s="46" t="s">
        <v>40</v>
      </c>
      <c r="E315" s="46" t="s">
        <v>29</v>
      </c>
      <c r="F315" s="46" t="s">
        <v>58</v>
      </c>
      <c r="G315" s="46" t="s">
        <v>33</v>
      </c>
      <c r="H315" s="46">
        <v>2</v>
      </c>
      <c r="I315" s="46">
        <f t="shared" si="36"/>
        <v>-3.3186961601504117</v>
      </c>
      <c r="J315" s="46">
        <v>0.22500000000000006</v>
      </c>
      <c r="K315" s="46" t="s">
        <v>31</v>
      </c>
      <c r="L315" s="46" t="s">
        <v>31</v>
      </c>
      <c r="M315" s="46" t="s">
        <v>31</v>
      </c>
      <c r="O315" s="393" t="s">
        <v>221</v>
      </c>
      <c r="P315" s="444">
        <v>3.6200000000000003E-2</v>
      </c>
    </row>
    <row r="316" spans="1:20">
      <c r="A316" s="338" t="s">
        <v>792</v>
      </c>
      <c r="B316" s="407">
        <f t="shared" si="33"/>
        <v>0.66800000000000004</v>
      </c>
      <c r="C316" s="46" t="s">
        <v>37</v>
      </c>
      <c r="D316" s="46" t="s">
        <v>40</v>
      </c>
      <c r="E316" s="46" t="s">
        <v>29</v>
      </c>
      <c r="F316" s="32" t="s">
        <v>741</v>
      </c>
      <c r="G316" s="46" t="s">
        <v>33</v>
      </c>
      <c r="H316" s="46">
        <v>2</v>
      </c>
      <c r="I316" s="46">
        <f t="shared" si="36"/>
        <v>-0.40346710544549125</v>
      </c>
      <c r="J316" s="46">
        <v>0.22500000000000006</v>
      </c>
      <c r="K316" s="46" t="s">
        <v>31</v>
      </c>
      <c r="L316" s="46" t="s">
        <v>31</v>
      </c>
      <c r="M316" s="46" t="s">
        <v>31</v>
      </c>
      <c r="O316" s="393" t="s">
        <v>221</v>
      </c>
      <c r="P316" s="444">
        <v>0.66800000000000004</v>
      </c>
    </row>
    <row r="317" spans="1:20">
      <c r="A317" s="47" t="s">
        <v>760</v>
      </c>
      <c r="B317" s="407">
        <f t="shared" si="33"/>
        <v>6.4000000000000003E-3</v>
      </c>
      <c r="C317" s="46" t="s">
        <v>37</v>
      </c>
      <c r="D317" s="46" t="s">
        <v>43</v>
      </c>
      <c r="E317" s="46" t="s">
        <v>44</v>
      </c>
      <c r="F317" s="46" t="s">
        <v>29</v>
      </c>
      <c r="G317" s="46" t="s">
        <v>45</v>
      </c>
      <c r="H317" s="46">
        <v>2</v>
      </c>
      <c r="I317" s="46">
        <f t="shared" si="36"/>
        <v>-5.0514572886165112</v>
      </c>
      <c r="J317" s="46">
        <v>0.22500000000000006</v>
      </c>
      <c r="K317" s="46" t="s">
        <v>31</v>
      </c>
      <c r="L317" s="46" t="s">
        <v>31</v>
      </c>
      <c r="M317" s="46" t="s">
        <v>31</v>
      </c>
      <c r="O317" s="408" t="s">
        <v>221</v>
      </c>
      <c r="P317" s="409">
        <v>6.4000000000000003E-3</v>
      </c>
    </row>
    <row r="318" spans="1:20">
      <c r="A318" s="46" t="s">
        <v>777</v>
      </c>
      <c r="B318" s="407">
        <f t="shared" si="33"/>
        <v>0.12</v>
      </c>
      <c r="C318" s="46" t="s">
        <v>37</v>
      </c>
      <c r="D318" s="400" t="s">
        <v>2</v>
      </c>
      <c r="E318" s="46" t="s">
        <v>29</v>
      </c>
      <c r="F318" s="32" t="s">
        <v>741</v>
      </c>
      <c r="G318" s="46" t="s">
        <v>33</v>
      </c>
      <c r="H318" s="46">
        <v>2</v>
      </c>
      <c r="I318" s="46">
        <f t="shared" si="36"/>
        <v>-2.120263536200091</v>
      </c>
      <c r="J318" s="46">
        <v>0.22500000000000006</v>
      </c>
      <c r="K318" s="46" t="s">
        <v>31</v>
      </c>
      <c r="L318" s="46" t="s">
        <v>31</v>
      </c>
      <c r="M318" s="46" t="s">
        <v>31</v>
      </c>
      <c r="O318" s="410" t="s">
        <v>221</v>
      </c>
      <c r="P318" s="445">
        <v>0.12</v>
      </c>
    </row>
    <row r="319" spans="1:20" s="345" customFormat="1">
      <c r="A319" s="362" t="s">
        <v>5</v>
      </c>
      <c r="B319" s="363" t="s">
        <v>1286</v>
      </c>
    </row>
    <row r="320" spans="1:20">
      <c r="A320" s="338" t="s">
        <v>7</v>
      </c>
      <c r="B320" s="46" t="s">
        <v>779</v>
      </c>
      <c r="C320" s="337"/>
    </row>
    <row r="321" spans="1:20">
      <c r="A321" s="416" t="s">
        <v>9</v>
      </c>
      <c r="B321" s="46" t="s">
        <v>1287</v>
      </c>
      <c r="C321" s="337"/>
    </row>
    <row r="322" spans="1:20" ht="15.75" customHeight="1">
      <c r="A322" s="338" t="s">
        <v>11</v>
      </c>
      <c r="B322" s="339" t="s">
        <v>789</v>
      </c>
    </row>
    <row r="323" spans="1:20">
      <c r="A323" s="338" t="s">
        <v>13</v>
      </c>
      <c r="B323" s="46" t="s">
        <v>14</v>
      </c>
    </row>
    <row r="324" spans="1:20">
      <c r="A324" s="338" t="s">
        <v>15</v>
      </c>
      <c r="B324" s="407">
        <f>B329</f>
        <v>2.8000000000000001E-2</v>
      </c>
    </row>
    <row r="325" spans="1:20">
      <c r="A325" s="338" t="s">
        <v>16</v>
      </c>
      <c r="B325" s="46" t="s">
        <v>17</v>
      </c>
    </row>
    <row r="326" spans="1:20">
      <c r="A326" s="338" t="s">
        <v>18</v>
      </c>
      <c r="B326" s="46" t="s">
        <v>113</v>
      </c>
    </row>
    <row r="327" spans="1:20">
      <c r="A327" s="335" t="s">
        <v>19</v>
      </c>
    </row>
    <row r="328" spans="1:20">
      <c r="A328" s="336" t="s">
        <v>20</v>
      </c>
      <c r="B328" s="336" t="s">
        <v>21</v>
      </c>
      <c r="C328" s="336" t="s">
        <v>18</v>
      </c>
      <c r="D328" s="336" t="s">
        <v>22</v>
      </c>
      <c r="E328" s="336" t="s">
        <v>7</v>
      </c>
      <c r="F328" s="336" t="s">
        <v>13</v>
      </c>
      <c r="G328" s="336" t="s">
        <v>16</v>
      </c>
      <c r="H328" s="336" t="s">
        <v>23</v>
      </c>
      <c r="I328" s="336" t="s">
        <v>24</v>
      </c>
      <c r="J328" s="336" t="s">
        <v>25</v>
      </c>
      <c r="K328" s="336" t="s">
        <v>26</v>
      </c>
      <c r="L328" s="336" t="s">
        <v>27</v>
      </c>
      <c r="M328" s="336" t="s">
        <v>28</v>
      </c>
      <c r="N328" s="336" t="s">
        <v>11</v>
      </c>
      <c r="T328" s="407"/>
    </row>
    <row r="329" spans="1:20">
      <c r="A329" s="46" t="s">
        <v>1286</v>
      </c>
      <c r="B329" s="407">
        <f>P330</f>
        <v>2.8000000000000001E-2</v>
      </c>
      <c r="C329" s="46" t="s">
        <v>113</v>
      </c>
      <c r="D329" s="400" t="s">
        <v>2</v>
      </c>
      <c r="E329" s="46" t="s">
        <v>29</v>
      </c>
      <c r="F329" s="46" t="s">
        <v>14</v>
      </c>
      <c r="G329" s="46" t="s">
        <v>30</v>
      </c>
      <c r="H329" s="46">
        <v>1</v>
      </c>
      <c r="I329" s="407">
        <f t="shared" ref="I329:I331" si="37">B329</f>
        <v>2.8000000000000001E-2</v>
      </c>
      <c r="J329" s="46" t="s">
        <v>31</v>
      </c>
      <c r="K329" s="46" t="s">
        <v>31</v>
      </c>
      <c r="L329" s="46" t="s">
        <v>31</v>
      </c>
      <c r="M329" s="46" t="s">
        <v>31</v>
      </c>
    </row>
    <row r="330" spans="1:20" ht="15">
      <c r="A330" s="62" t="s">
        <v>1288</v>
      </c>
      <c r="B330" s="407">
        <f>P330</f>
        <v>2.8000000000000001E-2</v>
      </c>
      <c r="C330" s="46" t="s">
        <v>113</v>
      </c>
      <c r="D330" s="400" t="s">
        <v>2</v>
      </c>
      <c r="E330" s="46" t="s">
        <v>29</v>
      </c>
      <c r="F330" s="46" t="s">
        <v>14</v>
      </c>
      <c r="G330" s="46" t="s">
        <v>33</v>
      </c>
      <c r="H330" s="46">
        <v>1</v>
      </c>
      <c r="I330" s="407">
        <f t="shared" si="37"/>
        <v>2.8000000000000001E-2</v>
      </c>
      <c r="J330" s="46">
        <v>2.8722813232690055E-2</v>
      </c>
      <c r="K330" s="46" t="s">
        <v>31</v>
      </c>
      <c r="L330" s="46" t="s">
        <v>31</v>
      </c>
      <c r="M330" s="46" t="s">
        <v>31</v>
      </c>
      <c r="O330" s="388" t="s">
        <v>817</v>
      </c>
      <c r="P330" s="184">
        <v>2.8000000000000001E-2</v>
      </c>
    </row>
    <row r="331" spans="1:20">
      <c r="A331" s="62" t="s">
        <v>1229</v>
      </c>
      <c r="B331" s="46">
        <f>R331</f>
        <v>0.28999999999999998</v>
      </c>
      <c r="C331" s="46" t="s">
        <v>221</v>
      </c>
      <c r="D331" s="400" t="s">
        <v>2</v>
      </c>
      <c r="E331" s="46" t="s">
        <v>29</v>
      </c>
      <c r="F331" s="46" t="s">
        <v>14</v>
      </c>
      <c r="G331" s="46" t="s">
        <v>33</v>
      </c>
      <c r="H331" s="46">
        <v>1</v>
      </c>
      <c r="I331" s="407">
        <f t="shared" si="37"/>
        <v>0.28999999999999998</v>
      </c>
      <c r="J331" s="46">
        <v>2.8722813232690055E-2</v>
      </c>
      <c r="K331" s="46" t="s">
        <v>31</v>
      </c>
      <c r="L331" s="46" t="s">
        <v>31</v>
      </c>
      <c r="M331" s="46" t="s">
        <v>31</v>
      </c>
      <c r="O331" s="388" t="s">
        <v>575</v>
      </c>
      <c r="P331" s="447">
        <v>290</v>
      </c>
      <c r="Q331" s="46" t="s">
        <v>221</v>
      </c>
      <c r="R331" s="46">
        <f>P331*0.001</f>
        <v>0.28999999999999998</v>
      </c>
    </row>
    <row r="332" spans="1:20">
      <c r="A332" s="338" t="s">
        <v>75</v>
      </c>
      <c r="B332" s="342">
        <f>P332</f>
        <v>0.03</v>
      </c>
      <c r="C332" s="46" t="s">
        <v>39</v>
      </c>
      <c r="D332" s="46" t="s">
        <v>40</v>
      </c>
      <c r="E332" s="46" t="s">
        <v>29</v>
      </c>
      <c r="F332" s="32" t="s">
        <v>35</v>
      </c>
      <c r="G332" s="46" t="s">
        <v>33</v>
      </c>
      <c r="H332" s="46">
        <v>2</v>
      </c>
      <c r="I332" s="46">
        <f t="shared" ref="I332:I334" si="38">LN(B332)</f>
        <v>-3.5065578973199818</v>
      </c>
      <c r="J332" s="46">
        <v>0.20928449536456342</v>
      </c>
      <c r="K332" s="46" t="s">
        <v>31</v>
      </c>
      <c r="L332" s="46" t="s">
        <v>31</v>
      </c>
      <c r="M332" s="46" t="s">
        <v>31</v>
      </c>
      <c r="O332" s="393" t="s">
        <v>216</v>
      </c>
      <c r="P332" s="444">
        <v>0.03</v>
      </c>
    </row>
    <row r="333" spans="1:20">
      <c r="A333" s="338" t="s">
        <v>75</v>
      </c>
      <c r="B333" s="342">
        <f>P333</f>
        <v>1.64</v>
      </c>
      <c r="C333" s="46" t="s">
        <v>39</v>
      </c>
      <c r="D333" s="46" t="s">
        <v>40</v>
      </c>
      <c r="E333" s="46" t="s">
        <v>29</v>
      </c>
      <c r="F333" s="32" t="s">
        <v>35</v>
      </c>
      <c r="G333" s="46" t="s">
        <v>33</v>
      </c>
      <c r="H333" s="46">
        <v>2</v>
      </c>
      <c r="I333" s="46">
        <f t="shared" si="38"/>
        <v>0.494696241836107</v>
      </c>
      <c r="J333" s="46">
        <v>0.20928449536456342</v>
      </c>
      <c r="K333" s="46" t="s">
        <v>31</v>
      </c>
      <c r="L333" s="46" t="s">
        <v>31</v>
      </c>
      <c r="M333" s="46" t="s">
        <v>31</v>
      </c>
      <c r="O333" s="393" t="s">
        <v>216</v>
      </c>
      <c r="P333" s="406">
        <v>1.64</v>
      </c>
    </row>
    <row r="334" spans="1:20">
      <c r="A334" s="338" t="s">
        <v>75</v>
      </c>
      <c r="B334" s="342">
        <f>P334</f>
        <v>0.42</v>
      </c>
      <c r="C334" s="46" t="s">
        <v>39</v>
      </c>
      <c r="D334" s="46" t="s">
        <v>40</v>
      </c>
      <c r="E334" s="46" t="s">
        <v>29</v>
      </c>
      <c r="F334" s="32" t="s">
        <v>35</v>
      </c>
      <c r="G334" s="46" t="s">
        <v>33</v>
      </c>
      <c r="H334" s="46">
        <v>2</v>
      </c>
      <c r="I334" s="46">
        <f t="shared" si="38"/>
        <v>-0.86750056770472306</v>
      </c>
      <c r="J334" s="46">
        <v>9.6436507609929598E-2</v>
      </c>
      <c r="K334" s="46" t="s">
        <v>31</v>
      </c>
      <c r="L334" s="46" t="s">
        <v>31</v>
      </c>
      <c r="M334" s="46" t="s">
        <v>31</v>
      </c>
      <c r="O334" s="393" t="s">
        <v>216</v>
      </c>
      <c r="P334" s="406">
        <v>0.42</v>
      </c>
    </row>
    <row r="335" spans="1:20">
      <c r="A335" s="47" t="s">
        <v>683</v>
      </c>
      <c r="B335" s="407">
        <f>R335</f>
        <v>3.0000000000000001E-3</v>
      </c>
      <c r="C335" s="46" t="s">
        <v>37</v>
      </c>
      <c r="D335" s="46" t="s">
        <v>40</v>
      </c>
      <c r="E335" s="46" t="s">
        <v>29</v>
      </c>
      <c r="F335" s="46" t="s">
        <v>35</v>
      </c>
      <c r="G335" s="46" t="s">
        <v>33</v>
      </c>
      <c r="H335" s="46">
        <v>2</v>
      </c>
      <c r="I335" s="46">
        <f>LN(B335)</f>
        <v>-5.8091429903140277</v>
      </c>
      <c r="J335" s="46">
        <v>0.20928449536456342</v>
      </c>
      <c r="K335" s="46" t="s">
        <v>31</v>
      </c>
      <c r="L335" s="46" t="s">
        <v>31</v>
      </c>
      <c r="M335" s="46" t="s">
        <v>31</v>
      </c>
      <c r="O335" s="393" t="s">
        <v>575</v>
      </c>
      <c r="P335" s="406">
        <v>3</v>
      </c>
      <c r="Q335" s="46" t="s">
        <v>221</v>
      </c>
      <c r="R335" s="46">
        <f>P335*0.001</f>
        <v>3.0000000000000001E-3</v>
      </c>
    </row>
    <row r="336" spans="1:20">
      <c r="A336" s="338" t="s">
        <v>792</v>
      </c>
      <c r="B336" s="407">
        <f>P336</f>
        <v>0.02</v>
      </c>
      <c r="C336" s="46" t="s">
        <v>37</v>
      </c>
      <c r="D336" s="46" t="s">
        <v>40</v>
      </c>
      <c r="E336" s="46" t="s">
        <v>29</v>
      </c>
      <c r="F336" s="32" t="s">
        <v>741</v>
      </c>
      <c r="G336" s="46" t="s">
        <v>33</v>
      </c>
      <c r="H336" s="46">
        <v>2</v>
      </c>
      <c r="I336" s="46">
        <f>LN(B336)</f>
        <v>-3.912023005428146</v>
      </c>
      <c r="J336" s="46">
        <v>0.20928449536456342</v>
      </c>
      <c r="K336" s="46" t="s">
        <v>31</v>
      </c>
      <c r="L336" s="46" t="s">
        <v>31</v>
      </c>
      <c r="M336" s="46" t="s">
        <v>31</v>
      </c>
      <c r="O336" s="393" t="s">
        <v>221</v>
      </c>
      <c r="P336" s="444">
        <v>0.02</v>
      </c>
    </row>
    <row r="337" spans="1:20">
      <c r="A337" s="47" t="s">
        <v>542</v>
      </c>
      <c r="B337" s="433">
        <f>R337</f>
        <v>4.2000000000000006E-3</v>
      </c>
      <c r="C337" s="46" t="s">
        <v>37</v>
      </c>
      <c r="D337" s="46" t="s">
        <v>40</v>
      </c>
      <c r="E337" s="46" t="s">
        <v>29</v>
      </c>
      <c r="F337" s="32" t="s">
        <v>128</v>
      </c>
      <c r="G337" s="46" t="s">
        <v>33</v>
      </c>
      <c r="H337" s="46">
        <v>2</v>
      </c>
      <c r="I337" s="46">
        <f>LN(B337)</f>
        <v>-5.4726707536928139</v>
      </c>
      <c r="J337" s="46">
        <v>0.20928449536456342</v>
      </c>
      <c r="K337" s="46" t="s">
        <v>31</v>
      </c>
      <c r="L337" s="46" t="s">
        <v>31</v>
      </c>
      <c r="M337" s="46" t="s">
        <v>31</v>
      </c>
      <c r="O337" s="393" t="s">
        <v>575</v>
      </c>
      <c r="P337" s="406">
        <v>4.2</v>
      </c>
      <c r="Q337" s="46" t="s">
        <v>221</v>
      </c>
      <c r="R337" s="46">
        <f>P337*0.001</f>
        <v>4.2000000000000006E-3</v>
      </c>
    </row>
    <row r="338" spans="1:20">
      <c r="A338" s="47" t="s">
        <v>530</v>
      </c>
      <c r="B338" s="46">
        <f>R338</f>
        <v>7.0000000000000001E-3</v>
      </c>
      <c r="C338" s="46" t="s">
        <v>37</v>
      </c>
      <c r="D338" s="46" t="s">
        <v>40</v>
      </c>
      <c r="E338" s="46" t="s">
        <v>29</v>
      </c>
      <c r="F338" s="46" t="s">
        <v>35</v>
      </c>
      <c r="G338" s="46" t="s">
        <v>33</v>
      </c>
      <c r="H338" s="46">
        <v>2</v>
      </c>
      <c r="I338" s="46">
        <f>LN(B338)</f>
        <v>-4.9618451299268234</v>
      </c>
      <c r="J338" s="46">
        <v>0.20928449536456342</v>
      </c>
      <c r="K338" s="46" t="s">
        <v>31</v>
      </c>
      <c r="L338" s="46" t="s">
        <v>31</v>
      </c>
      <c r="M338" s="46" t="s">
        <v>31</v>
      </c>
      <c r="O338" s="393" t="s">
        <v>575</v>
      </c>
      <c r="P338" s="406">
        <v>7</v>
      </c>
      <c r="Q338" s="46" t="s">
        <v>221</v>
      </c>
      <c r="R338" s="46">
        <f>P338*0.001</f>
        <v>7.0000000000000001E-3</v>
      </c>
    </row>
    <row r="339" spans="1:20">
      <c r="A339" s="338" t="s">
        <v>480</v>
      </c>
      <c r="B339" s="46">
        <f>P339</f>
        <v>4.9000000000000004</v>
      </c>
      <c r="C339" s="46" t="s">
        <v>37</v>
      </c>
      <c r="D339" s="46" t="s">
        <v>40</v>
      </c>
      <c r="E339" s="46" t="s">
        <v>29</v>
      </c>
      <c r="F339" s="32" t="s">
        <v>35</v>
      </c>
      <c r="G339" s="46" t="s">
        <v>33</v>
      </c>
      <c r="H339" s="46">
        <v>2</v>
      </c>
      <c r="I339" s="46">
        <f t="shared" ref="I339:I340" si="39">LN(B339)</f>
        <v>1.589235205116581</v>
      </c>
      <c r="J339" s="46">
        <v>0.20928449536456342</v>
      </c>
      <c r="K339" s="46" t="s">
        <v>31</v>
      </c>
      <c r="L339" s="46" t="s">
        <v>31</v>
      </c>
      <c r="M339" s="46" t="s">
        <v>31</v>
      </c>
      <c r="O339" s="393" t="s">
        <v>221</v>
      </c>
      <c r="P339" s="406">
        <v>4.9000000000000004</v>
      </c>
    </row>
    <row r="340" spans="1:20">
      <c r="A340" s="46" t="s">
        <v>777</v>
      </c>
      <c r="B340" s="407">
        <f>P340</f>
        <v>1.4E-2</v>
      </c>
      <c r="C340" s="46" t="s">
        <v>37</v>
      </c>
      <c r="D340" s="400" t="s">
        <v>2</v>
      </c>
      <c r="E340" s="46" t="s">
        <v>29</v>
      </c>
      <c r="F340" s="32" t="s">
        <v>741</v>
      </c>
      <c r="G340" s="46" t="s">
        <v>33</v>
      </c>
      <c r="H340" s="46">
        <v>2</v>
      </c>
      <c r="I340" s="46">
        <f t="shared" si="39"/>
        <v>-4.2686979493668789</v>
      </c>
      <c r="J340" s="46">
        <v>0.20928449536456342</v>
      </c>
      <c r="K340" s="46" t="s">
        <v>31</v>
      </c>
      <c r="L340" s="46" t="s">
        <v>31</v>
      </c>
      <c r="M340" s="46" t="s">
        <v>31</v>
      </c>
      <c r="O340" s="410" t="s">
        <v>221</v>
      </c>
      <c r="P340" s="445">
        <v>1.4E-2</v>
      </c>
    </row>
    <row r="341" spans="1:20" s="345" customFormat="1">
      <c r="A341" s="362" t="s">
        <v>5</v>
      </c>
      <c r="B341" s="363" t="s">
        <v>1288</v>
      </c>
      <c r="P341" s="461"/>
    </row>
    <row r="342" spans="1:20">
      <c r="A342" s="338" t="s">
        <v>7</v>
      </c>
      <c r="B342" s="46" t="s">
        <v>779</v>
      </c>
      <c r="C342" s="337"/>
    </row>
    <row r="343" spans="1:20">
      <c r="A343" s="416" t="s">
        <v>9</v>
      </c>
      <c r="B343" s="46" t="s">
        <v>1289</v>
      </c>
      <c r="C343" s="337"/>
    </row>
    <row r="344" spans="1:20" ht="15.75" customHeight="1">
      <c r="A344" s="338" t="s">
        <v>11</v>
      </c>
      <c r="B344" s="339" t="s">
        <v>789</v>
      </c>
    </row>
    <row r="345" spans="1:20">
      <c r="A345" s="338" t="s">
        <v>13</v>
      </c>
      <c r="B345" s="46" t="s">
        <v>14</v>
      </c>
    </row>
    <row r="346" spans="1:20">
      <c r="A346" s="338" t="s">
        <v>15</v>
      </c>
      <c r="B346" s="407">
        <f>B351</f>
        <v>2.8000000000000001E-2</v>
      </c>
    </row>
    <row r="347" spans="1:20">
      <c r="A347" s="338" t="s">
        <v>16</v>
      </c>
      <c r="B347" s="46" t="s">
        <v>17</v>
      </c>
    </row>
    <row r="348" spans="1:20">
      <c r="A348" s="338" t="s">
        <v>18</v>
      </c>
      <c r="B348" s="46" t="s">
        <v>113</v>
      </c>
    </row>
    <row r="349" spans="1:20">
      <c r="A349" s="335" t="s">
        <v>19</v>
      </c>
    </row>
    <row r="350" spans="1:20">
      <c r="A350" s="336" t="s">
        <v>20</v>
      </c>
      <c r="B350" s="336" t="s">
        <v>21</v>
      </c>
      <c r="C350" s="336" t="s">
        <v>18</v>
      </c>
      <c r="D350" s="336" t="s">
        <v>22</v>
      </c>
      <c r="E350" s="336" t="s">
        <v>7</v>
      </c>
      <c r="F350" s="336" t="s">
        <v>13</v>
      </c>
      <c r="G350" s="336" t="s">
        <v>16</v>
      </c>
      <c r="H350" s="336" t="s">
        <v>23</v>
      </c>
      <c r="I350" s="336" t="s">
        <v>24</v>
      </c>
      <c r="J350" s="336" t="s">
        <v>25</v>
      </c>
      <c r="K350" s="336" t="s">
        <v>26</v>
      </c>
      <c r="L350" s="336" t="s">
        <v>27</v>
      </c>
      <c r="M350" s="336" t="s">
        <v>28</v>
      </c>
      <c r="N350" s="336" t="s">
        <v>11</v>
      </c>
      <c r="T350" s="407"/>
    </row>
    <row r="351" spans="1:20">
      <c r="A351" s="62" t="s">
        <v>1288</v>
      </c>
      <c r="B351" s="407">
        <f>P351</f>
        <v>2.8000000000000001E-2</v>
      </c>
      <c r="C351" s="46" t="s">
        <v>113</v>
      </c>
      <c r="D351" s="400" t="s">
        <v>2</v>
      </c>
      <c r="E351" s="46" t="s">
        <v>29</v>
      </c>
      <c r="F351" s="46" t="s">
        <v>14</v>
      </c>
      <c r="G351" s="46" t="s">
        <v>30</v>
      </c>
      <c r="H351" s="46">
        <v>1</v>
      </c>
      <c r="I351" s="407">
        <f>B351</f>
        <v>2.8000000000000001E-2</v>
      </c>
      <c r="J351" s="46" t="s">
        <v>31</v>
      </c>
      <c r="K351" s="46" t="s">
        <v>31</v>
      </c>
      <c r="L351" s="46" t="s">
        <v>31</v>
      </c>
      <c r="M351" s="46" t="s">
        <v>31</v>
      </c>
      <c r="O351" s="388" t="s">
        <v>817</v>
      </c>
      <c r="P351" s="461">
        <v>2.8000000000000001E-2</v>
      </c>
    </row>
    <row r="352" spans="1:20">
      <c r="A352" s="47" t="s">
        <v>842</v>
      </c>
      <c r="B352" s="46">
        <f>P352</f>
        <v>0.05</v>
      </c>
      <c r="C352" s="46" t="s">
        <v>37</v>
      </c>
      <c r="D352" s="46" t="s">
        <v>40</v>
      </c>
      <c r="E352" s="46" t="s">
        <v>29</v>
      </c>
      <c r="F352" s="46" t="s">
        <v>128</v>
      </c>
      <c r="G352" s="46" t="s">
        <v>33</v>
      </c>
      <c r="H352" s="46">
        <v>2</v>
      </c>
      <c r="I352" s="46">
        <f t="shared" ref="I352:I362" si="40">LN(B352)</f>
        <v>-2.9957322735539909</v>
      </c>
      <c r="J352" s="456">
        <v>0.22516660498395411</v>
      </c>
      <c r="K352" s="46" t="s">
        <v>31</v>
      </c>
      <c r="L352" s="46" t="s">
        <v>31</v>
      </c>
      <c r="M352" s="46" t="s">
        <v>31</v>
      </c>
      <c r="O352" s="393" t="s">
        <v>221</v>
      </c>
      <c r="P352" s="406">
        <v>0.05</v>
      </c>
    </row>
    <row r="353" spans="1:18">
      <c r="A353" s="338" t="s">
        <v>75</v>
      </c>
      <c r="B353" s="342">
        <f>P353</f>
        <v>0.57999999999999996</v>
      </c>
      <c r="C353" s="46" t="s">
        <v>39</v>
      </c>
      <c r="D353" s="46" t="s">
        <v>40</v>
      </c>
      <c r="E353" s="46" t="s">
        <v>29</v>
      </c>
      <c r="F353" s="32" t="s">
        <v>35</v>
      </c>
      <c r="G353" s="46" t="s">
        <v>33</v>
      </c>
      <c r="H353" s="46">
        <v>2</v>
      </c>
      <c r="I353" s="46">
        <f t="shared" si="40"/>
        <v>-0.54472717544167215</v>
      </c>
      <c r="J353" s="456">
        <v>0.22516660498395411</v>
      </c>
      <c r="K353" s="46" t="s">
        <v>31</v>
      </c>
      <c r="L353" s="46" t="s">
        <v>31</v>
      </c>
      <c r="M353" s="46" t="s">
        <v>31</v>
      </c>
      <c r="O353" s="393" t="s">
        <v>216</v>
      </c>
      <c r="P353" s="406">
        <v>0.57999999999999996</v>
      </c>
    </row>
    <row r="354" spans="1:18">
      <c r="A354" s="47" t="s">
        <v>958</v>
      </c>
      <c r="B354" s="407">
        <f>R354</f>
        <v>9.6999999999999994E-4</v>
      </c>
      <c r="C354" s="46" t="s">
        <v>37</v>
      </c>
      <c r="D354" s="46" t="s">
        <v>40</v>
      </c>
      <c r="E354" s="46" t="s">
        <v>29</v>
      </c>
      <c r="F354" s="46" t="s">
        <v>35</v>
      </c>
      <c r="G354" s="46" t="s">
        <v>33</v>
      </c>
      <c r="H354" s="46">
        <v>2</v>
      </c>
      <c r="I354" s="46">
        <f t="shared" si="40"/>
        <v>-6.9382144864668458</v>
      </c>
      <c r="J354" s="456">
        <v>0.22516660498395411</v>
      </c>
      <c r="K354" s="46" t="s">
        <v>31</v>
      </c>
      <c r="L354" s="46" t="s">
        <v>31</v>
      </c>
      <c r="M354" s="46" t="s">
        <v>31</v>
      </c>
      <c r="O354" s="393" t="s">
        <v>575</v>
      </c>
      <c r="P354" s="444">
        <v>0.97</v>
      </c>
      <c r="Q354" s="46" t="s">
        <v>221</v>
      </c>
      <c r="R354" s="407">
        <f>0.001*P354</f>
        <v>9.6999999999999994E-4</v>
      </c>
    </row>
    <row r="355" spans="1:18">
      <c r="A355" s="47" t="s">
        <v>959</v>
      </c>
      <c r="B355" s="407">
        <f>P355</f>
        <v>4.7000000000000002E-3</v>
      </c>
      <c r="C355" s="46" t="s">
        <v>37</v>
      </c>
      <c r="D355" s="46" t="s">
        <v>40</v>
      </c>
      <c r="E355" s="46" t="s">
        <v>29</v>
      </c>
      <c r="F355" s="46" t="s">
        <v>35</v>
      </c>
      <c r="G355" s="46" t="s">
        <v>33</v>
      </c>
      <c r="H355" s="46">
        <v>2</v>
      </c>
      <c r="I355" s="46">
        <f t="shared" si="40"/>
        <v>-5.3601927702661243</v>
      </c>
      <c r="J355" s="456">
        <v>0.22516660498395411</v>
      </c>
      <c r="K355" s="46" t="s">
        <v>31</v>
      </c>
      <c r="L355" s="46" t="s">
        <v>31</v>
      </c>
      <c r="M355" s="46" t="s">
        <v>31</v>
      </c>
      <c r="O355" s="393" t="s">
        <v>221</v>
      </c>
      <c r="P355" s="444">
        <v>4.7000000000000002E-3</v>
      </c>
    </row>
    <row r="356" spans="1:18">
      <c r="A356" s="47" t="s">
        <v>960</v>
      </c>
      <c r="B356" s="407">
        <f>P356</f>
        <v>3.8999999999999998E-3</v>
      </c>
      <c r="C356" s="46" t="s">
        <v>37</v>
      </c>
      <c r="D356" s="46" t="s">
        <v>40</v>
      </c>
      <c r="E356" s="46" t="s">
        <v>29</v>
      </c>
      <c r="F356" s="46" t="s">
        <v>35</v>
      </c>
      <c r="G356" s="46" t="s">
        <v>33</v>
      </c>
      <c r="H356" s="46">
        <v>2</v>
      </c>
      <c r="I356" s="46">
        <f t="shared" si="40"/>
        <v>-5.5467787258465364</v>
      </c>
      <c r="J356" s="456">
        <v>0.22516660498395411</v>
      </c>
      <c r="K356" s="46" t="s">
        <v>31</v>
      </c>
      <c r="L356" s="46" t="s">
        <v>31</v>
      </c>
      <c r="M356" s="46" t="s">
        <v>31</v>
      </c>
      <c r="O356" s="393" t="s">
        <v>221</v>
      </c>
      <c r="P356" s="444">
        <v>3.8999999999999998E-3</v>
      </c>
    </row>
    <row r="357" spans="1:18">
      <c r="A357" s="47" t="s">
        <v>961</v>
      </c>
      <c r="B357" s="407">
        <f>P357</f>
        <v>3.4000000000000002E-2</v>
      </c>
      <c r="C357" s="46" t="s">
        <v>37</v>
      </c>
      <c r="D357" s="46" t="s">
        <v>40</v>
      </c>
      <c r="E357" s="46" t="s">
        <v>29</v>
      </c>
      <c r="F357" s="46" t="s">
        <v>35</v>
      </c>
      <c r="G357" s="46" t="s">
        <v>33</v>
      </c>
      <c r="H357" s="46">
        <v>2</v>
      </c>
      <c r="I357" s="46">
        <f t="shared" si="40"/>
        <v>-3.3813947543659757</v>
      </c>
      <c r="J357" s="456">
        <v>0.22516660498395411</v>
      </c>
      <c r="K357" s="46" t="s">
        <v>31</v>
      </c>
      <c r="L357" s="46" t="s">
        <v>31</v>
      </c>
      <c r="M357" s="46" t="s">
        <v>31</v>
      </c>
      <c r="O357" s="393" t="s">
        <v>221</v>
      </c>
      <c r="P357" s="406">
        <v>3.4000000000000002E-2</v>
      </c>
    </row>
    <row r="358" spans="1:18">
      <c r="A358" s="47" t="s">
        <v>962</v>
      </c>
      <c r="B358" s="407">
        <f>R358</f>
        <v>1.9000000000000001E-4</v>
      </c>
      <c r="C358" s="46" t="s">
        <v>37</v>
      </c>
      <c r="D358" s="46" t="s">
        <v>43</v>
      </c>
      <c r="E358" s="46" t="s">
        <v>44</v>
      </c>
      <c r="F358" s="46" t="s">
        <v>29</v>
      </c>
      <c r="G358" s="46" t="s">
        <v>45</v>
      </c>
      <c r="H358" s="46">
        <v>2</v>
      </c>
      <c r="I358" s="46">
        <f t="shared" si="40"/>
        <v>-8.5684864858037884</v>
      </c>
      <c r="J358" s="456">
        <v>0.10344080432788608</v>
      </c>
      <c r="K358" s="46" t="s">
        <v>31</v>
      </c>
      <c r="L358" s="46" t="s">
        <v>31</v>
      </c>
      <c r="M358" s="46" t="s">
        <v>31</v>
      </c>
      <c r="O358" s="408" t="s">
        <v>575</v>
      </c>
      <c r="P358" s="409">
        <v>0.19</v>
      </c>
      <c r="Q358" s="46" t="s">
        <v>221</v>
      </c>
      <c r="R358" s="407">
        <f>0.001*P358</f>
        <v>1.9000000000000001E-4</v>
      </c>
    </row>
    <row r="359" spans="1:18">
      <c r="A359" s="47" t="s">
        <v>229</v>
      </c>
      <c r="B359" s="407">
        <f t="shared" ref="B359:B361" si="41">R359</f>
        <v>2E-3</v>
      </c>
      <c r="C359" s="46" t="s">
        <v>37</v>
      </c>
      <c r="D359" s="46" t="s">
        <v>43</v>
      </c>
      <c r="E359" s="46" t="s">
        <v>44</v>
      </c>
      <c r="F359" s="46" t="s">
        <v>29</v>
      </c>
      <c r="G359" s="46" t="s">
        <v>45</v>
      </c>
      <c r="H359" s="46">
        <v>2</v>
      </c>
      <c r="I359" s="46">
        <f t="shared" si="40"/>
        <v>-6.2146080984221914</v>
      </c>
      <c r="J359" s="456">
        <v>0.10344080432788608</v>
      </c>
      <c r="K359" s="46" t="s">
        <v>31</v>
      </c>
      <c r="L359" s="46" t="s">
        <v>31</v>
      </c>
      <c r="M359" s="46" t="s">
        <v>31</v>
      </c>
      <c r="O359" s="408" t="s">
        <v>575</v>
      </c>
      <c r="P359" s="409">
        <v>2</v>
      </c>
      <c r="Q359" s="46" t="s">
        <v>221</v>
      </c>
      <c r="R359" s="407">
        <f>0.001*P359</f>
        <v>2E-3</v>
      </c>
    </row>
    <row r="360" spans="1:18">
      <c r="A360" s="47" t="s">
        <v>963</v>
      </c>
      <c r="B360" s="407">
        <f t="shared" si="41"/>
        <v>1E-3</v>
      </c>
      <c r="C360" s="46" t="s">
        <v>37</v>
      </c>
      <c r="D360" s="46" t="s">
        <v>43</v>
      </c>
      <c r="E360" s="46" t="s">
        <v>44</v>
      </c>
      <c r="F360" s="46" t="s">
        <v>29</v>
      </c>
      <c r="G360" s="46" t="s">
        <v>45</v>
      </c>
      <c r="H360" s="46">
        <v>2</v>
      </c>
      <c r="I360" s="46">
        <f t="shared" si="40"/>
        <v>-6.9077552789821368</v>
      </c>
      <c r="J360" s="456">
        <v>0.10344080432788608</v>
      </c>
      <c r="K360" s="46" t="s">
        <v>31</v>
      </c>
      <c r="L360" s="46" t="s">
        <v>31</v>
      </c>
      <c r="M360" s="46" t="s">
        <v>31</v>
      </c>
      <c r="O360" s="408" t="s">
        <v>575</v>
      </c>
      <c r="P360" s="409">
        <v>1</v>
      </c>
      <c r="Q360" s="46" t="s">
        <v>221</v>
      </c>
      <c r="R360" s="407">
        <f>0.001*P360</f>
        <v>1E-3</v>
      </c>
    </row>
    <row r="361" spans="1:18">
      <c r="A361" s="47" t="s">
        <v>760</v>
      </c>
      <c r="B361" s="407">
        <f t="shared" si="41"/>
        <v>7.8000000000000009E-4</v>
      </c>
      <c r="C361" s="46" t="s">
        <v>37</v>
      </c>
      <c r="D361" s="46" t="s">
        <v>43</v>
      </c>
      <c r="E361" s="46" t="s">
        <v>44</v>
      </c>
      <c r="F361" s="46" t="s">
        <v>29</v>
      </c>
      <c r="G361" s="46" t="s">
        <v>45</v>
      </c>
      <c r="H361" s="46">
        <v>2</v>
      </c>
      <c r="I361" s="46">
        <f t="shared" si="40"/>
        <v>-7.1562166382806369</v>
      </c>
      <c r="J361" s="456">
        <v>0.10344080432788608</v>
      </c>
      <c r="K361" s="46" t="s">
        <v>31</v>
      </c>
      <c r="L361" s="46" t="s">
        <v>31</v>
      </c>
      <c r="M361" s="46" t="s">
        <v>31</v>
      </c>
      <c r="O361" s="408" t="s">
        <v>575</v>
      </c>
      <c r="P361" s="409">
        <v>0.78</v>
      </c>
      <c r="Q361" s="46" t="s">
        <v>221</v>
      </c>
      <c r="R361" s="407">
        <f>0.001*P361</f>
        <v>7.8000000000000009E-4</v>
      </c>
    </row>
    <row r="362" spans="1:18">
      <c r="A362" s="46" t="s">
        <v>783</v>
      </c>
      <c r="B362" s="407">
        <f>P362</f>
        <v>1.0999999999999999E-2</v>
      </c>
      <c r="C362" s="46" t="s">
        <v>37</v>
      </c>
      <c r="D362" s="400" t="s">
        <v>2</v>
      </c>
      <c r="E362" s="46" t="s">
        <v>29</v>
      </c>
      <c r="F362" s="32" t="s">
        <v>741</v>
      </c>
      <c r="G362" s="46" t="s">
        <v>33</v>
      </c>
      <c r="H362" s="46">
        <v>2</v>
      </c>
      <c r="I362" s="46">
        <f t="shared" si="40"/>
        <v>-4.5098600061837661</v>
      </c>
      <c r="J362" s="46">
        <v>0.11269427669584645</v>
      </c>
      <c r="K362" s="46" t="s">
        <v>31</v>
      </c>
      <c r="L362" s="46" t="s">
        <v>31</v>
      </c>
      <c r="M362" s="46" t="s">
        <v>31</v>
      </c>
      <c r="O362" s="410" t="s">
        <v>221</v>
      </c>
      <c r="P362" s="445">
        <v>1.0999999999999999E-2</v>
      </c>
    </row>
    <row r="363" spans="1:18">
      <c r="P363" s="461"/>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A3C3-6085-47DD-BBAF-967FFF2EC593}">
  <sheetPr>
    <tabColor theme="9"/>
  </sheetPr>
  <dimension ref="A1:P72"/>
  <sheetViews>
    <sheetView zoomScale="85" zoomScaleNormal="85" workbookViewId="0">
      <selection activeCell="E36" sqref="E36"/>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56" customFormat="1" ht="15.75">
      <c r="A2" s="53" t="s">
        <v>5</v>
      </c>
      <c r="B2" s="53" t="s">
        <v>1290</v>
      </c>
      <c r="C2" s="53"/>
      <c r="D2" s="54"/>
      <c r="E2" s="55"/>
      <c r="F2" s="55"/>
      <c r="G2" s="55"/>
      <c r="H2" s="55"/>
      <c r="I2" s="55"/>
      <c r="J2" s="55"/>
      <c r="K2" s="55"/>
      <c r="L2" s="55"/>
      <c r="M2" s="55"/>
      <c r="N2" s="55"/>
      <c r="O2" s="55"/>
      <c r="P2" s="55"/>
    </row>
    <row r="3" spans="1:16">
      <c r="A3" s="42" t="s">
        <v>7</v>
      </c>
      <c r="B3" s="42" t="s">
        <v>1291</v>
      </c>
      <c r="C3" s="42"/>
      <c r="D3" s="42"/>
      <c r="E3" s="42"/>
      <c r="F3" s="42"/>
      <c r="G3" s="42"/>
      <c r="H3" s="42"/>
      <c r="I3" s="42"/>
      <c r="J3" s="42"/>
      <c r="K3" s="42"/>
      <c r="L3" s="42"/>
      <c r="M3" s="42"/>
      <c r="N3" s="42"/>
      <c r="O3" s="42"/>
      <c r="P3" s="42"/>
    </row>
    <row r="4" spans="1:16">
      <c r="A4" s="42" t="s">
        <v>9</v>
      </c>
      <c r="B4" s="43" t="s">
        <v>1292</v>
      </c>
      <c r="C4" s="42"/>
      <c r="D4" s="42"/>
      <c r="E4" s="42"/>
      <c r="F4" s="42"/>
      <c r="G4" s="42"/>
      <c r="H4" s="42"/>
      <c r="I4" s="42"/>
      <c r="J4" s="42"/>
      <c r="K4" s="42"/>
      <c r="L4" s="42"/>
      <c r="M4" s="42"/>
      <c r="N4" s="42"/>
      <c r="O4" s="42"/>
      <c r="P4" s="42"/>
    </row>
    <row r="5" spans="1:16">
      <c r="A5" s="42" t="s">
        <v>11</v>
      </c>
      <c r="B5" s="42" t="s">
        <v>1293</v>
      </c>
      <c r="C5" s="42"/>
      <c r="D5" s="42"/>
      <c r="E5" s="42"/>
      <c r="F5" s="42"/>
      <c r="G5" s="42"/>
      <c r="H5" s="42"/>
      <c r="I5" s="42"/>
      <c r="J5" s="42"/>
      <c r="K5" s="42"/>
      <c r="L5" s="42"/>
      <c r="M5" s="42"/>
      <c r="N5" s="42"/>
      <c r="O5" s="42"/>
      <c r="P5" s="42"/>
    </row>
    <row r="6" spans="1:16">
      <c r="A6" s="42" t="s">
        <v>13</v>
      </c>
      <c r="B6" s="42" t="s">
        <v>58</v>
      </c>
      <c r="C6" s="42"/>
      <c r="D6" s="42"/>
      <c r="E6" s="42"/>
      <c r="F6" s="42"/>
      <c r="G6" s="42"/>
      <c r="H6" s="42"/>
      <c r="I6" s="42"/>
      <c r="J6" s="42"/>
      <c r="K6" s="42"/>
      <c r="L6" s="42"/>
      <c r="M6" s="42"/>
      <c r="N6" s="42"/>
      <c r="O6" s="42"/>
      <c r="P6" s="42"/>
    </row>
    <row r="7" spans="1:16">
      <c r="A7" s="42" t="s">
        <v>15</v>
      </c>
      <c r="B7" s="42">
        <v>1</v>
      </c>
      <c r="C7" s="42"/>
      <c r="D7" s="42"/>
      <c r="E7" s="42"/>
      <c r="F7" s="42"/>
      <c r="G7" s="42"/>
      <c r="H7" s="42"/>
      <c r="I7" s="42"/>
      <c r="J7" s="42"/>
      <c r="K7" s="42"/>
      <c r="L7" s="42"/>
      <c r="M7" s="42"/>
      <c r="N7" s="42"/>
      <c r="O7" s="42"/>
      <c r="P7" s="42"/>
    </row>
    <row r="8" spans="1:16">
      <c r="A8" s="42" t="s">
        <v>16</v>
      </c>
      <c r="B8" s="42" t="s">
        <v>17</v>
      </c>
      <c r="C8" s="42"/>
      <c r="D8" s="42"/>
      <c r="E8" s="42"/>
      <c r="F8" s="42"/>
      <c r="G8" s="42"/>
      <c r="H8" s="42"/>
      <c r="I8" s="42"/>
      <c r="J8" s="42"/>
      <c r="K8" s="42"/>
      <c r="L8" s="42"/>
      <c r="M8" s="42"/>
      <c r="N8" s="42"/>
      <c r="O8" s="42"/>
      <c r="P8" s="42"/>
    </row>
    <row r="9" spans="1:16">
      <c r="A9" s="42" t="s">
        <v>18</v>
      </c>
      <c r="B9" s="42" t="s">
        <v>18</v>
      </c>
      <c r="C9" s="42"/>
      <c r="D9" s="42"/>
      <c r="E9" s="42" t="s">
        <v>197</v>
      </c>
      <c r="F9" s="42"/>
      <c r="G9" s="42"/>
      <c r="H9" s="42"/>
      <c r="I9" s="42"/>
      <c r="J9" s="42"/>
      <c r="K9" s="42"/>
      <c r="L9" s="42"/>
      <c r="M9" s="42"/>
      <c r="N9" s="42"/>
      <c r="O9" s="42"/>
      <c r="P9" s="42"/>
    </row>
    <row r="10" spans="1:16" ht="15.75">
      <c r="A10" s="45" t="s">
        <v>19</v>
      </c>
      <c r="B10" s="42"/>
      <c r="C10" s="42"/>
      <c r="D10" s="42"/>
      <c r="E10" s="42"/>
      <c r="F10" s="42"/>
      <c r="G10" s="42"/>
      <c r="H10" s="42"/>
      <c r="I10" s="42"/>
      <c r="J10" s="42"/>
      <c r="K10" s="42"/>
      <c r="L10" s="42"/>
      <c r="M10" s="42"/>
      <c r="N10" s="42"/>
      <c r="O10" s="42"/>
      <c r="P10" s="42"/>
    </row>
    <row r="11" spans="1:16"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16" ht="15.75">
      <c r="A12" s="44" t="s">
        <v>1290</v>
      </c>
      <c r="B12" s="44">
        <v>1</v>
      </c>
      <c r="C12" s="44"/>
      <c r="D12" s="44" t="s">
        <v>18</v>
      </c>
      <c r="E12" s="42" t="s">
        <v>2</v>
      </c>
      <c r="F12" s="42" t="s">
        <v>1294</v>
      </c>
      <c r="G12" s="44" t="s">
        <v>58</v>
      </c>
      <c r="H12" s="42" t="s">
        <v>30</v>
      </c>
      <c r="I12" s="42">
        <v>0</v>
      </c>
      <c r="J12" s="44" t="s">
        <v>31</v>
      </c>
      <c r="K12" s="44" t="s">
        <v>31</v>
      </c>
      <c r="L12" s="44" t="s">
        <v>31</v>
      </c>
      <c r="M12" s="44" t="s">
        <v>31</v>
      </c>
      <c r="N12" s="44" t="s">
        <v>31</v>
      </c>
      <c r="O12" s="42"/>
      <c r="P12" s="42"/>
    </row>
    <row r="13" spans="1:16" ht="15.75">
      <c r="A13" t="s">
        <v>369</v>
      </c>
      <c r="B13" s="23">
        <f>-0.7391</f>
        <v>-0.73909999999999998</v>
      </c>
      <c r="C13" s="44"/>
      <c r="D13" s="44" t="s">
        <v>37</v>
      </c>
      <c r="E13" s="47" t="s">
        <v>40</v>
      </c>
      <c r="F13" s="42" t="s">
        <v>1294</v>
      </c>
      <c r="G13" s="44" t="s">
        <v>128</v>
      </c>
      <c r="H13" s="42" t="s">
        <v>33</v>
      </c>
      <c r="I13" s="42">
        <v>0</v>
      </c>
      <c r="J13" s="44" t="s">
        <v>31</v>
      </c>
      <c r="K13" s="44" t="s">
        <v>31</v>
      </c>
      <c r="L13" s="44" t="s">
        <v>31</v>
      </c>
      <c r="M13" s="44" t="s">
        <v>31</v>
      </c>
      <c r="N13" s="44" t="s">
        <v>31</v>
      </c>
      <c r="O13" s="42" t="s">
        <v>1295</v>
      </c>
      <c r="P13" s="42" t="s">
        <v>1296</v>
      </c>
    </row>
    <row r="14" spans="1:16" s="56" customFormat="1" ht="15.75">
      <c r="A14" s="53" t="s">
        <v>5</v>
      </c>
      <c r="B14" s="53" t="s">
        <v>1297</v>
      </c>
      <c r="C14" s="53"/>
      <c r="D14" s="54"/>
      <c r="E14" s="55"/>
      <c r="F14" s="55"/>
      <c r="G14" s="55"/>
      <c r="H14" s="55"/>
      <c r="I14" s="55"/>
      <c r="J14" s="55"/>
      <c r="K14" s="55"/>
      <c r="L14" s="55"/>
      <c r="M14" s="55"/>
      <c r="N14" s="55"/>
      <c r="O14" s="55"/>
      <c r="P14" s="55"/>
    </row>
    <row r="15" spans="1:16">
      <c r="A15" s="42" t="s">
        <v>7</v>
      </c>
      <c r="B15" s="42" t="s">
        <v>1291</v>
      </c>
      <c r="C15" s="42"/>
      <c r="D15" s="42"/>
      <c r="E15" s="42"/>
      <c r="F15" s="42"/>
      <c r="G15" s="42"/>
      <c r="H15" s="42"/>
      <c r="I15" s="42"/>
      <c r="J15" s="42"/>
      <c r="K15" s="42"/>
      <c r="L15" s="42"/>
      <c r="M15" s="42"/>
      <c r="N15" s="42"/>
      <c r="O15" s="42"/>
      <c r="P15" s="42"/>
    </row>
    <row r="16" spans="1:16">
      <c r="A16" s="42" t="s">
        <v>9</v>
      </c>
      <c r="B16" s="43" t="s">
        <v>1298</v>
      </c>
      <c r="C16" s="42"/>
      <c r="D16" s="42"/>
      <c r="E16" s="42"/>
      <c r="F16" s="42"/>
      <c r="G16" s="42"/>
      <c r="H16" s="42"/>
      <c r="I16" s="42"/>
      <c r="J16" s="42"/>
      <c r="K16" s="42"/>
      <c r="L16" s="42"/>
      <c r="M16" s="42"/>
      <c r="N16" s="42"/>
      <c r="O16" s="42"/>
      <c r="P16" s="42"/>
    </row>
    <row r="17" spans="1:16">
      <c r="A17" s="42" t="s">
        <v>11</v>
      </c>
      <c r="B17" s="42" t="s">
        <v>1299</v>
      </c>
      <c r="C17" s="42"/>
      <c r="D17" s="42"/>
      <c r="E17" s="42"/>
      <c r="F17" s="42"/>
      <c r="G17" s="42"/>
      <c r="H17" s="42"/>
      <c r="I17" s="42"/>
      <c r="J17" s="42"/>
      <c r="K17" s="42"/>
      <c r="L17" s="42"/>
      <c r="M17" s="42"/>
      <c r="N17" s="42"/>
      <c r="O17" s="42"/>
      <c r="P17" s="42"/>
    </row>
    <row r="18" spans="1:16">
      <c r="A18" s="42" t="s">
        <v>13</v>
      </c>
      <c r="B18" s="42" t="s">
        <v>58</v>
      </c>
      <c r="C18" s="42"/>
      <c r="D18" s="42"/>
      <c r="E18" s="42"/>
      <c r="F18" s="42"/>
      <c r="G18" s="42"/>
      <c r="H18" s="42"/>
      <c r="I18" s="42"/>
      <c r="J18" s="42"/>
      <c r="K18" s="42"/>
      <c r="L18" s="42"/>
      <c r="M18" s="42"/>
      <c r="N18" s="42"/>
      <c r="O18" s="42"/>
      <c r="P18" s="42"/>
    </row>
    <row r="19" spans="1:16">
      <c r="A19" s="42" t="s">
        <v>15</v>
      </c>
      <c r="B19" s="42">
        <v>1</v>
      </c>
      <c r="C19" s="42"/>
      <c r="D19" s="42"/>
      <c r="E19" s="42"/>
      <c r="F19" s="42"/>
      <c r="G19" s="42"/>
      <c r="H19" s="42"/>
      <c r="I19" s="42"/>
      <c r="J19" s="42"/>
      <c r="K19" s="42"/>
      <c r="L19" s="42"/>
      <c r="M19" s="42"/>
      <c r="N19" s="42"/>
      <c r="O19" s="42"/>
      <c r="P19" s="42"/>
    </row>
    <row r="20" spans="1:16">
      <c r="A20" s="42" t="s">
        <v>16</v>
      </c>
      <c r="B20" s="42" t="s">
        <v>17</v>
      </c>
      <c r="C20" s="42"/>
      <c r="D20" s="42"/>
      <c r="E20" s="42"/>
      <c r="F20" s="42"/>
      <c r="G20" s="42"/>
      <c r="H20" s="42"/>
      <c r="I20" s="42"/>
      <c r="J20" s="42"/>
      <c r="K20" s="42"/>
      <c r="L20" s="42"/>
      <c r="M20" s="42"/>
      <c r="N20" s="42"/>
      <c r="O20" s="42"/>
      <c r="P20" s="42"/>
    </row>
    <row r="21" spans="1:16">
      <c r="A21" s="42" t="s">
        <v>18</v>
      </c>
      <c r="B21" s="42" t="s">
        <v>18</v>
      </c>
      <c r="C21" s="42"/>
      <c r="D21" s="42"/>
      <c r="E21" s="42" t="s">
        <v>197</v>
      </c>
      <c r="F21" s="42"/>
      <c r="G21" s="42"/>
      <c r="H21" s="42"/>
      <c r="I21" s="42"/>
      <c r="J21" s="42"/>
      <c r="K21" s="42"/>
      <c r="L21" s="42"/>
      <c r="M21" s="42"/>
      <c r="N21" s="42"/>
      <c r="O21" s="42"/>
      <c r="P21" s="42"/>
    </row>
    <row r="22" spans="1:16" ht="15.75">
      <c r="A22" s="45" t="s">
        <v>19</v>
      </c>
      <c r="B22" s="42"/>
      <c r="C22" s="42"/>
      <c r="D22" s="42"/>
      <c r="E22" s="42"/>
      <c r="F22" s="42"/>
      <c r="G22" s="42"/>
      <c r="H22" s="42"/>
      <c r="I22" s="42"/>
      <c r="J22" s="42"/>
      <c r="K22" s="42"/>
      <c r="L22" s="42"/>
      <c r="M22" s="42"/>
      <c r="N22" s="42"/>
      <c r="O22" s="42"/>
      <c r="P22" s="42"/>
    </row>
    <row r="23" spans="1:16" ht="15.75">
      <c r="A23" s="45" t="s">
        <v>20</v>
      </c>
      <c r="B23" s="45" t="s">
        <v>21</v>
      </c>
      <c r="C23" s="45" t="s">
        <v>198</v>
      </c>
      <c r="D23" s="45" t="s">
        <v>18</v>
      </c>
      <c r="E23" s="45" t="s">
        <v>22</v>
      </c>
      <c r="F23" s="45" t="s">
        <v>7</v>
      </c>
      <c r="G23" s="45" t="s">
        <v>13</v>
      </c>
      <c r="H23" s="45" t="s">
        <v>16</v>
      </c>
      <c r="I23" s="45" t="s">
        <v>23</v>
      </c>
      <c r="J23" s="45" t="s">
        <v>24</v>
      </c>
      <c r="K23" s="45" t="s">
        <v>25</v>
      </c>
      <c r="L23" s="45" t="s">
        <v>26</v>
      </c>
      <c r="M23" s="45" t="s">
        <v>27</v>
      </c>
      <c r="N23" s="45" t="s">
        <v>28</v>
      </c>
      <c r="O23" s="45" t="s">
        <v>11</v>
      </c>
      <c r="P23" s="45" t="s">
        <v>199</v>
      </c>
    </row>
    <row r="24" spans="1:16" ht="15.75">
      <c r="A24" s="44" t="s">
        <v>1297</v>
      </c>
      <c r="B24" s="44">
        <v>1</v>
      </c>
      <c r="C24" s="44"/>
      <c r="D24" s="44" t="s">
        <v>18</v>
      </c>
      <c r="E24" s="42" t="s">
        <v>2</v>
      </c>
      <c r="F24" s="42" t="s">
        <v>1294</v>
      </c>
      <c r="G24" s="44" t="s">
        <v>58</v>
      </c>
      <c r="H24" s="42" t="s">
        <v>30</v>
      </c>
      <c r="I24" s="42">
        <v>0</v>
      </c>
      <c r="J24" s="44" t="s">
        <v>31</v>
      </c>
      <c r="K24" s="44" t="s">
        <v>31</v>
      </c>
      <c r="L24" s="44" t="s">
        <v>31</v>
      </c>
      <c r="M24" s="44" t="s">
        <v>31</v>
      </c>
      <c r="N24" s="44" t="s">
        <v>31</v>
      </c>
      <c r="O24" s="42" t="s">
        <v>1300</v>
      </c>
      <c r="P24" s="42"/>
    </row>
    <row r="25" spans="1:16" ht="15.75">
      <c r="A25" t="s">
        <v>245</v>
      </c>
      <c r="B25" s="57">
        <v>0.3407</v>
      </c>
      <c r="C25" s="44"/>
      <c r="D25" s="44" t="s">
        <v>37</v>
      </c>
      <c r="E25" s="32" t="s">
        <v>40</v>
      </c>
      <c r="F25" s="42" t="s">
        <v>1294</v>
      </c>
      <c r="G25" t="s">
        <v>128</v>
      </c>
      <c r="H25" s="42" t="s">
        <v>33</v>
      </c>
      <c r="I25" s="42">
        <v>0</v>
      </c>
      <c r="J25" s="44" t="s">
        <v>31</v>
      </c>
      <c r="K25" s="44" t="s">
        <v>31</v>
      </c>
      <c r="L25" s="44" t="s">
        <v>31</v>
      </c>
      <c r="M25" s="44" t="s">
        <v>31</v>
      </c>
      <c r="N25" s="44" t="s">
        <v>31</v>
      </c>
      <c r="O25" s="42"/>
      <c r="P25" s="42"/>
    </row>
    <row r="26" spans="1:16" ht="15.75">
      <c r="A26" t="s">
        <v>247</v>
      </c>
      <c r="B26" s="57">
        <v>0.3407</v>
      </c>
      <c r="C26" s="22" t="s">
        <v>248</v>
      </c>
      <c r="D26" t="s">
        <v>37</v>
      </c>
      <c r="E26" s="46" t="s">
        <v>40</v>
      </c>
      <c r="F26" s="42" t="s">
        <v>1294</v>
      </c>
      <c r="G26" t="s">
        <v>128</v>
      </c>
      <c r="H26" s="42" t="s">
        <v>33</v>
      </c>
      <c r="I26" s="42">
        <v>0</v>
      </c>
      <c r="J26" s="44" t="s">
        <v>31</v>
      </c>
      <c r="K26" s="44" t="s">
        <v>31</v>
      </c>
      <c r="L26" s="44" t="s">
        <v>31</v>
      </c>
      <c r="M26" s="44" t="s">
        <v>31</v>
      </c>
      <c r="N26" s="44" t="s">
        <v>31</v>
      </c>
      <c r="O26" t="s">
        <v>378</v>
      </c>
    </row>
    <row r="27" spans="1:16" ht="15.75">
      <c r="A27" t="s">
        <v>329</v>
      </c>
      <c r="B27">
        <f>B26*0.9</f>
        <v>0.30663000000000001</v>
      </c>
      <c r="D27" t="s">
        <v>37</v>
      </c>
      <c r="E27" s="46" t="s">
        <v>40</v>
      </c>
      <c r="F27" s="42" t="s">
        <v>1294</v>
      </c>
      <c r="G27" t="s">
        <v>58</v>
      </c>
      <c r="H27" s="42" t="s">
        <v>243</v>
      </c>
      <c r="I27" s="42">
        <v>0</v>
      </c>
      <c r="J27" s="44" t="s">
        <v>31</v>
      </c>
      <c r="K27" s="44" t="s">
        <v>31</v>
      </c>
      <c r="L27" s="44" t="s">
        <v>31</v>
      </c>
      <c r="M27" s="44" t="s">
        <v>31</v>
      </c>
      <c r="N27" s="44" t="s">
        <v>31</v>
      </c>
      <c r="O27" s="42" t="s">
        <v>1301</v>
      </c>
    </row>
    <row r="28" spans="1:16" ht="15.75">
      <c r="A28" t="s">
        <v>424</v>
      </c>
      <c r="B28" s="57">
        <v>19.029800000000002</v>
      </c>
      <c r="C28" t="s">
        <v>425</v>
      </c>
      <c r="D28" t="s">
        <v>37</v>
      </c>
      <c r="E28" s="46" t="s">
        <v>40</v>
      </c>
      <c r="F28" s="42" t="s">
        <v>1294</v>
      </c>
      <c r="G28" t="s">
        <v>128</v>
      </c>
      <c r="H28" t="s">
        <v>33</v>
      </c>
      <c r="I28" s="42">
        <v>0</v>
      </c>
      <c r="J28" s="44" t="s">
        <v>31</v>
      </c>
      <c r="K28" s="44" t="s">
        <v>31</v>
      </c>
      <c r="L28" s="44" t="s">
        <v>31</v>
      </c>
      <c r="M28" s="44" t="s">
        <v>31</v>
      </c>
      <c r="N28" s="44" t="s">
        <v>31</v>
      </c>
    </row>
    <row r="29" spans="1:16" ht="15.75">
      <c r="A29" t="s">
        <v>1302</v>
      </c>
      <c r="B29">
        <f>0.9*B28</f>
        <v>17.126820000000002</v>
      </c>
      <c r="D29" t="s">
        <v>37</v>
      </c>
      <c r="E29" s="46" t="s">
        <v>40</v>
      </c>
      <c r="F29" s="42" t="s">
        <v>1294</v>
      </c>
      <c r="G29" t="s">
        <v>58</v>
      </c>
      <c r="H29" t="s">
        <v>243</v>
      </c>
      <c r="I29" s="42">
        <v>0</v>
      </c>
      <c r="J29" s="44" t="s">
        <v>31</v>
      </c>
      <c r="K29" s="44" t="s">
        <v>31</v>
      </c>
      <c r="L29" s="44" t="s">
        <v>31</v>
      </c>
      <c r="M29" s="44" t="s">
        <v>31</v>
      </c>
      <c r="N29" s="44" t="s">
        <v>31</v>
      </c>
      <c r="O29" s="42" t="s">
        <v>1301</v>
      </c>
    </row>
    <row r="30" spans="1:16" ht="16.5" customHeight="1">
      <c r="A30" t="s">
        <v>380</v>
      </c>
      <c r="B30" s="58">
        <f>-((B28-B29)+(B26-B27)+4.9011)</f>
        <v>-6.8381499999999988</v>
      </c>
      <c r="D30" t="s">
        <v>37</v>
      </c>
      <c r="E30" s="47" t="s">
        <v>40</v>
      </c>
      <c r="F30" s="42" t="s">
        <v>1294</v>
      </c>
      <c r="G30" t="s">
        <v>58</v>
      </c>
      <c r="H30" t="s">
        <v>33</v>
      </c>
      <c r="I30">
        <v>0</v>
      </c>
      <c r="J30" t="s">
        <v>31</v>
      </c>
      <c r="K30" t="s">
        <v>31</v>
      </c>
      <c r="L30" t="s">
        <v>31</v>
      </c>
      <c r="M30" t="s">
        <v>31</v>
      </c>
      <c r="N30" t="s">
        <v>31</v>
      </c>
      <c r="O30" s="17" t="s">
        <v>1303</v>
      </c>
    </row>
    <row r="31" spans="1:16" s="56" customFormat="1" ht="15.75">
      <c r="A31" s="53" t="s">
        <v>5</v>
      </c>
      <c r="B31" s="53" t="s">
        <v>1304</v>
      </c>
      <c r="C31" s="53"/>
      <c r="D31" s="54"/>
      <c r="E31" s="55"/>
      <c r="F31" s="55"/>
      <c r="G31" s="55"/>
      <c r="H31" s="55"/>
      <c r="I31" s="55"/>
      <c r="J31" s="55"/>
      <c r="K31" s="55"/>
      <c r="L31" s="55"/>
      <c r="M31" s="55"/>
      <c r="N31" s="55"/>
      <c r="O31" s="55"/>
      <c r="P31" s="55"/>
    </row>
    <row r="32" spans="1:16">
      <c r="A32" s="42" t="s">
        <v>7</v>
      </c>
      <c r="B32" s="42" t="s">
        <v>1291</v>
      </c>
      <c r="C32" s="42"/>
      <c r="D32" s="42"/>
      <c r="E32" s="42"/>
      <c r="F32" s="42"/>
      <c r="G32" s="42"/>
      <c r="H32" s="42"/>
      <c r="I32" s="42"/>
      <c r="J32" s="42"/>
      <c r="K32" s="42"/>
      <c r="L32" s="42"/>
      <c r="M32" s="42"/>
      <c r="N32" s="42"/>
      <c r="O32" s="42"/>
      <c r="P32" s="42"/>
    </row>
    <row r="33" spans="1:16">
      <c r="A33" s="42" t="s">
        <v>9</v>
      </c>
      <c r="B33" s="43" t="s">
        <v>1305</v>
      </c>
      <c r="C33" s="42"/>
      <c r="D33" s="42"/>
      <c r="E33" s="42"/>
      <c r="F33" s="42"/>
      <c r="G33" s="42"/>
      <c r="H33" s="42"/>
      <c r="I33" s="42"/>
      <c r="J33" s="42"/>
      <c r="K33" s="42"/>
      <c r="L33" s="42"/>
      <c r="M33" s="42"/>
      <c r="N33" s="42"/>
      <c r="O33" s="42"/>
      <c r="P33" s="42"/>
    </row>
    <row r="34" spans="1:16">
      <c r="A34" s="42" t="s">
        <v>11</v>
      </c>
      <c r="B34" s="42" t="s">
        <v>1306</v>
      </c>
      <c r="C34" s="42"/>
      <c r="D34" s="42"/>
      <c r="E34" s="42"/>
      <c r="F34" s="42"/>
      <c r="G34" s="42"/>
      <c r="H34" s="42"/>
      <c r="I34" s="42"/>
      <c r="J34" s="42"/>
      <c r="K34" s="42"/>
      <c r="L34" s="42"/>
      <c r="M34" s="42"/>
      <c r="N34" s="42"/>
      <c r="O34" s="42"/>
      <c r="P34" s="42"/>
    </row>
    <row r="35" spans="1:16">
      <c r="A35" s="42" t="s">
        <v>13</v>
      </c>
      <c r="B35" s="42" t="s">
        <v>58</v>
      </c>
      <c r="C35" s="42"/>
      <c r="D35" s="42"/>
      <c r="E35" s="42"/>
      <c r="F35" s="42"/>
      <c r="G35" s="42"/>
      <c r="H35" s="42"/>
      <c r="I35" s="42"/>
      <c r="J35" s="42"/>
      <c r="K35" s="42"/>
      <c r="L35" s="42"/>
      <c r="M35" s="42"/>
      <c r="N35" s="42"/>
      <c r="O35" s="42"/>
      <c r="P35" s="42"/>
    </row>
    <row r="36" spans="1:16">
      <c r="A36" s="42" t="s">
        <v>15</v>
      </c>
      <c r="B36" s="42">
        <v>1</v>
      </c>
      <c r="C36" s="42"/>
      <c r="D36" s="42"/>
      <c r="E36" s="42"/>
      <c r="F36" s="42"/>
      <c r="G36" s="42"/>
      <c r="H36" s="42"/>
      <c r="I36" s="42"/>
      <c r="J36" s="42"/>
      <c r="K36" s="42"/>
      <c r="L36" s="42"/>
      <c r="M36" s="42"/>
      <c r="N36" s="42"/>
      <c r="O36" s="42"/>
      <c r="P36" s="42"/>
    </row>
    <row r="37" spans="1:16">
      <c r="A37" s="42" t="s">
        <v>16</v>
      </c>
      <c r="B37" s="42" t="s">
        <v>17</v>
      </c>
      <c r="C37" s="42"/>
      <c r="D37" s="42"/>
      <c r="E37" s="42"/>
      <c r="F37" s="42"/>
      <c r="G37" s="42"/>
      <c r="H37" s="42"/>
      <c r="I37" s="42"/>
      <c r="J37" s="42"/>
      <c r="K37" s="42"/>
      <c r="L37" s="42"/>
      <c r="M37" s="42"/>
      <c r="N37" s="42"/>
      <c r="O37" s="42"/>
      <c r="P37" s="42"/>
    </row>
    <row r="38" spans="1:16">
      <c r="A38" s="42" t="s">
        <v>18</v>
      </c>
      <c r="B38" s="42" t="s">
        <v>18</v>
      </c>
      <c r="C38" s="42"/>
      <c r="D38" s="42"/>
      <c r="E38" s="42" t="s">
        <v>197</v>
      </c>
      <c r="F38" s="42"/>
      <c r="G38" s="42"/>
      <c r="H38" s="42"/>
      <c r="I38" s="42"/>
      <c r="J38" s="42"/>
      <c r="K38" s="42"/>
      <c r="L38" s="42"/>
      <c r="M38" s="42"/>
      <c r="N38" s="42"/>
      <c r="O38" s="42"/>
      <c r="P38" s="42"/>
    </row>
    <row r="39" spans="1:16" ht="15.75">
      <c r="A39" s="45" t="s">
        <v>19</v>
      </c>
      <c r="B39" s="42"/>
      <c r="C39" s="42"/>
      <c r="D39" s="42"/>
      <c r="E39" s="42"/>
      <c r="F39" s="42"/>
      <c r="G39" s="42"/>
      <c r="H39" s="42"/>
      <c r="I39" s="42"/>
      <c r="J39" s="42"/>
      <c r="K39" s="42"/>
      <c r="L39" s="42"/>
      <c r="M39" s="42"/>
      <c r="N39" s="42"/>
      <c r="O39" s="42"/>
      <c r="P39" s="42"/>
    </row>
    <row r="40" spans="1:16" ht="15.75">
      <c r="A40" s="45" t="s">
        <v>20</v>
      </c>
      <c r="B40" s="45" t="s">
        <v>21</v>
      </c>
      <c r="C40" s="45" t="s">
        <v>198</v>
      </c>
      <c r="D40" s="45" t="s">
        <v>18</v>
      </c>
      <c r="E40" s="45" t="s">
        <v>22</v>
      </c>
      <c r="F40" s="45" t="s">
        <v>7</v>
      </c>
      <c r="G40" s="45" t="s">
        <v>13</v>
      </c>
      <c r="H40" s="45" t="s">
        <v>16</v>
      </c>
      <c r="I40" s="45" t="s">
        <v>23</v>
      </c>
      <c r="J40" s="45" t="s">
        <v>24</v>
      </c>
      <c r="K40" s="45" t="s">
        <v>25</v>
      </c>
      <c r="L40" s="45" t="s">
        <v>26</v>
      </c>
      <c r="M40" s="45" t="s">
        <v>27</v>
      </c>
      <c r="N40" s="45" t="s">
        <v>28</v>
      </c>
      <c r="O40" s="45" t="s">
        <v>11</v>
      </c>
      <c r="P40" s="45" t="s">
        <v>199</v>
      </c>
    </row>
    <row r="41" spans="1:16" ht="15.75">
      <c r="A41" s="44" t="s">
        <v>1304</v>
      </c>
      <c r="B41" s="44">
        <v>1</v>
      </c>
      <c r="C41" s="44"/>
      <c r="D41" s="44" t="s">
        <v>18</v>
      </c>
      <c r="E41" s="42" t="s">
        <v>2</v>
      </c>
      <c r="F41" s="42" t="s">
        <v>1294</v>
      </c>
      <c r="G41" s="44" t="s">
        <v>58</v>
      </c>
      <c r="H41" s="42" t="s">
        <v>30</v>
      </c>
      <c r="I41" s="42">
        <v>0</v>
      </c>
      <c r="J41" s="44" t="s">
        <v>31</v>
      </c>
      <c r="K41" s="44" t="s">
        <v>31</v>
      </c>
      <c r="L41" s="44" t="s">
        <v>31</v>
      </c>
      <c r="M41" s="44" t="s">
        <v>31</v>
      </c>
      <c r="N41" s="44" t="s">
        <v>31</v>
      </c>
      <c r="O41" s="42" t="s">
        <v>1307</v>
      </c>
      <c r="P41" s="42"/>
    </row>
    <row r="42" spans="1:16" ht="15.75">
      <c r="A42" s="47" t="s">
        <v>567</v>
      </c>
      <c r="B42" s="59">
        <v>-7.87</v>
      </c>
      <c r="D42" t="s">
        <v>37</v>
      </c>
      <c r="E42" s="46" t="s">
        <v>40</v>
      </c>
      <c r="F42" s="42" t="s">
        <v>1294</v>
      </c>
      <c r="G42" t="s">
        <v>128</v>
      </c>
      <c r="H42" t="s">
        <v>33</v>
      </c>
      <c r="I42" s="42">
        <v>0</v>
      </c>
      <c r="J42" s="44" t="s">
        <v>31</v>
      </c>
      <c r="K42" s="44" t="s">
        <v>31</v>
      </c>
      <c r="L42" s="44" t="s">
        <v>31</v>
      </c>
      <c r="M42" s="44" t="s">
        <v>31</v>
      </c>
      <c r="N42" s="44" t="s">
        <v>31</v>
      </c>
      <c r="O42" s="42" t="s">
        <v>1307</v>
      </c>
      <c r="P42" s="44" t="s">
        <v>1308</v>
      </c>
    </row>
    <row r="43" spans="1:16" ht="15.75">
      <c r="A43" t="s">
        <v>38</v>
      </c>
      <c r="B43">
        <f>B44*0.277777777</f>
        <v>38.016472115776104</v>
      </c>
      <c r="D43" t="s">
        <v>39</v>
      </c>
      <c r="E43" s="46" t="s">
        <v>40</v>
      </c>
      <c r="F43" s="42" t="s">
        <v>1294</v>
      </c>
      <c r="G43" t="s">
        <v>58</v>
      </c>
      <c r="H43" s="42" t="s">
        <v>243</v>
      </c>
      <c r="I43" s="42">
        <v>0</v>
      </c>
      <c r="J43" s="44" t="s">
        <v>31</v>
      </c>
      <c r="K43" s="44" t="s">
        <v>31</v>
      </c>
      <c r="L43" s="44" t="s">
        <v>31</v>
      </c>
      <c r="M43" s="44" t="s">
        <v>31</v>
      </c>
      <c r="N43" s="44" t="s">
        <v>31</v>
      </c>
      <c r="O43" t="s">
        <v>1309</v>
      </c>
    </row>
    <row r="44" spans="1:16" ht="15.75">
      <c r="A44" t="s">
        <v>220</v>
      </c>
      <c r="B44">
        <f>-B42*0.5*34.78</f>
        <v>136.85930000000002</v>
      </c>
      <c r="D44" t="s">
        <v>170</v>
      </c>
      <c r="E44" s="46" t="s">
        <v>40</v>
      </c>
      <c r="F44" s="42" t="s">
        <v>1294</v>
      </c>
      <c r="G44" t="s">
        <v>58</v>
      </c>
      <c r="H44" s="42" t="s">
        <v>243</v>
      </c>
      <c r="I44" s="42">
        <v>0</v>
      </c>
      <c r="J44" s="44" t="s">
        <v>31</v>
      </c>
      <c r="K44" s="44" t="s">
        <v>31</v>
      </c>
      <c r="L44" s="44" t="s">
        <v>31</v>
      </c>
      <c r="M44" s="44" t="s">
        <v>31</v>
      </c>
      <c r="N44" s="44" t="s">
        <v>31</v>
      </c>
      <c r="O44" t="s">
        <v>1310</v>
      </c>
    </row>
    <row r="45" spans="1:16" s="56" customFormat="1" ht="15.75">
      <c r="A45" s="53" t="s">
        <v>5</v>
      </c>
      <c r="B45" s="53" t="s">
        <v>1311</v>
      </c>
      <c r="C45" s="53"/>
      <c r="D45" s="54"/>
      <c r="E45" s="55"/>
      <c r="F45" s="55"/>
      <c r="G45" s="55"/>
      <c r="H45" s="55"/>
      <c r="I45" s="55"/>
      <c r="J45" s="55"/>
      <c r="K45" s="55"/>
      <c r="L45" s="55"/>
      <c r="M45" s="55"/>
      <c r="N45" s="55"/>
      <c r="O45" s="55"/>
      <c r="P45" s="55"/>
    </row>
    <row r="46" spans="1:16">
      <c r="A46" s="42" t="s">
        <v>7</v>
      </c>
      <c r="B46" s="42" t="s">
        <v>1291</v>
      </c>
      <c r="C46" s="42"/>
      <c r="D46" s="42"/>
      <c r="E46" s="42"/>
      <c r="F46" s="42"/>
      <c r="G46" s="42"/>
      <c r="H46" s="42"/>
      <c r="I46" s="42"/>
      <c r="J46" s="42"/>
      <c r="K46" s="42"/>
      <c r="L46" s="42"/>
      <c r="M46" s="42"/>
      <c r="N46" s="42"/>
      <c r="O46" s="42"/>
      <c r="P46" s="42"/>
    </row>
    <row r="47" spans="1:16">
      <c r="A47" s="42" t="s">
        <v>9</v>
      </c>
      <c r="B47" s="43" t="s">
        <v>1312</v>
      </c>
      <c r="C47" s="42"/>
      <c r="D47" s="42"/>
      <c r="E47" s="42"/>
      <c r="F47" s="42"/>
      <c r="G47" s="42"/>
      <c r="H47" s="42"/>
      <c r="I47" s="42"/>
      <c r="J47" s="42"/>
      <c r="K47" s="42"/>
      <c r="L47" s="42"/>
      <c r="M47" s="42"/>
      <c r="N47" s="42"/>
      <c r="O47" s="42"/>
      <c r="P47" s="42"/>
    </row>
    <row r="48" spans="1:16">
      <c r="A48" s="42" t="s">
        <v>11</v>
      </c>
      <c r="B48" s="42" t="s">
        <v>1313</v>
      </c>
      <c r="C48" s="42"/>
      <c r="D48" s="42"/>
      <c r="E48" s="42"/>
      <c r="F48" s="42"/>
      <c r="G48" s="42"/>
      <c r="H48" s="42"/>
      <c r="I48" s="42"/>
      <c r="J48" s="42"/>
      <c r="K48" s="42"/>
      <c r="L48" s="42"/>
      <c r="M48" s="42"/>
      <c r="N48" s="42"/>
      <c r="O48" s="42"/>
      <c r="P48" s="42"/>
    </row>
    <row r="49" spans="1:16">
      <c r="A49" s="42" t="s">
        <v>13</v>
      </c>
      <c r="B49" s="42" t="s">
        <v>58</v>
      </c>
      <c r="C49" s="42"/>
      <c r="D49" s="42"/>
      <c r="E49" s="42"/>
      <c r="F49" s="42"/>
      <c r="G49" s="42"/>
      <c r="H49" s="42"/>
      <c r="I49" s="42"/>
      <c r="J49" s="42"/>
      <c r="K49" s="42"/>
      <c r="L49" s="42"/>
      <c r="M49" s="42"/>
      <c r="N49" s="42"/>
      <c r="O49" s="42"/>
      <c r="P49" s="42"/>
    </row>
    <row r="50" spans="1:16">
      <c r="A50" s="42" t="s">
        <v>15</v>
      </c>
      <c r="B50" s="42">
        <v>1</v>
      </c>
      <c r="C50" s="42"/>
      <c r="D50" s="42"/>
      <c r="E50" s="42"/>
      <c r="F50" s="42"/>
      <c r="G50" s="42"/>
      <c r="H50" s="42"/>
      <c r="I50" s="42"/>
      <c r="J50" s="42"/>
      <c r="K50" s="42"/>
      <c r="L50" s="42"/>
      <c r="M50" s="42"/>
      <c r="N50" s="42"/>
      <c r="O50" s="42"/>
      <c r="P50" s="42"/>
    </row>
    <row r="51" spans="1:16">
      <c r="A51" s="42" t="s">
        <v>16</v>
      </c>
      <c r="B51" s="42" t="s">
        <v>17</v>
      </c>
      <c r="C51" s="42"/>
      <c r="D51" s="42"/>
      <c r="E51" s="42"/>
      <c r="F51" s="42"/>
      <c r="G51" s="42"/>
      <c r="H51" s="42"/>
      <c r="I51" s="42"/>
      <c r="J51" s="42"/>
      <c r="K51" s="42"/>
      <c r="L51" s="42"/>
      <c r="M51" s="42"/>
      <c r="N51" s="42"/>
      <c r="O51" s="42"/>
      <c r="P51" s="42"/>
    </row>
    <row r="52" spans="1:16">
      <c r="A52" s="42" t="s">
        <v>18</v>
      </c>
      <c r="B52" s="42" t="s">
        <v>18</v>
      </c>
      <c r="C52" s="42"/>
      <c r="D52" s="42"/>
      <c r="E52" s="42" t="s">
        <v>197</v>
      </c>
      <c r="F52" s="42"/>
      <c r="G52" s="42"/>
      <c r="H52" s="42"/>
      <c r="I52" s="42"/>
      <c r="J52" s="42"/>
      <c r="K52" s="42"/>
      <c r="L52" s="42"/>
      <c r="M52" s="42"/>
      <c r="N52" s="42"/>
      <c r="O52" s="42"/>
      <c r="P52" s="42"/>
    </row>
    <row r="53" spans="1:16" ht="15.75">
      <c r="A53" s="45" t="s">
        <v>19</v>
      </c>
      <c r="B53" s="42"/>
      <c r="C53" s="42"/>
      <c r="D53" s="42"/>
      <c r="E53" s="42"/>
      <c r="F53" s="42"/>
      <c r="G53" s="42"/>
      <c r="H53" s="42"/>
      <c r="I53" s="42"/>
      <c r="J53" s="42"/>
      <c r="K53" s="42"/>
      <c r="L53" s="42"/>
      <c r="M53" s="42"/>
      <c r="N53" s="42"/>
      <c r="O53" s="42"/>
      <c r="P53" s="42"/>
    </row>
    <row r="54" spans="1:16" ht="15.75">
      <c r="A54" s="45" t="s">
        <v>20</v>
      </c>
      <c r="B54" s="45" t="s">
        <v>21</v>
      </c>
      <c r="C54" s="45" t="s">
        <v>198</v>
      </c>
      <c r="D54" s="45" t="s">
        <v>18</v>
      </c>
      <c r="E54" s="45" t="s">
        <v>22</v>
      </c>
      <c r="F54" s="45" t="s">
        <v>7</v>
      </c>
      <c r="G54" s="45" t="s">
        <v>13</v>
      </c>
      <c r="H54" s="45" t="s">
        <v>16</v>
      </c>
      <c r="I54" s="45" t="s">
        <v>23</v>
      </c>
      <c r="J54" s="45" t="s">
        <v>24</v>
      </c>
      <c r="K54" s="45" t="s">
        <v>25</v>
      </c>
      <c r="L54" s="45" t="s">
        <v>26</v>
      </c>
      <c r="M54" s="45" t="s">
        <v>27</v>
      </c>
      <c r="N54" s="45" t="s">
        <v>28</v>
      </c>
      <c r="O54" s="45" t="s">
        <v>11</v>
      </c>
      <c r="P54" s="45" t="s">
        <v>199</v>
      </c>
    </row>
    <row r="55" spans="1:16" ht="15.75">
      <c r="A55" s="44" t="s">
        <v>1311</v>
      </c>
      <c r="B55" s="44">
        <v>1</v>
      </c>
      <c r="C55" s="44"/>
      <c r="D55" s="44" t="s">
        <v>18</v>
      </c>
      <c r="E55" s="42" t="s">
        <v>2</v>
      </c>
      <c r="F55" s="42" t="s">
        <v>1294</v>
      </c>
      <c r="G55" s="44" t="s">
        <v>58</v>
      </c>
      <c r="H55" s="42" t="s">
        <v>30</v>
      </c>
      <c r="I55" s="42">
        <v>0</v>
      </c>
      <c r="J55" s="44" t="s">
        <v>31</v>
      </c>
      <c r="K55" s="44" t="s">
        <v>31</v>
      </c>
      <c r="L55" s="44" t="s">
        <v>31</v>
      </c>
      <c r="M55" s="44" t="s">
        <v>31</v>
      </c>
      <c r="N55" s="44" t="s">
        <v>31</v>
      </c>
      <c r="O55" s="42"/>
      <c r="P55" s="42"/>
    </row>
    <row r="56" spans="1:16" ht="15.75">
      <c r="A56" s="47" t="s">
        <v>309</v>
      </c>
      <c r="B56" s="42">
        <f>-1.6</f>
        <v>-1.6</v>
      </c>
      <c r="D56" t="s">
        <v>37</v>
      </c>
      <c r="E56" s="46" t="s">
        <v>40</v>
      </c>
      <c r="F56" s="42" t="s">
        <v>1294</v>
      </c>
      <c r="G56" t="s">
        <v>128</v>
      </c>
      <c r="H56" t="s">
        <v>33</v>
      </c>
      <c r="I56" s="42">
        <v>0</v>
      </c>
      <c r="J56" s="44" t="s">
        <v>31</v>
      </c>
      <c r="K56" s="44" t="s">
        <v>31</v>
      </c>
      <c r="L56" s="44" t="s">
        <v>31</v>
      </c>
      <c r="M56" s="44" t="s">
        <v>31</v>
      </c>
      <c r="N56" s="44" t="s">
        <v>31</v>
      </c>
      <c r="O56" s="44" t="s">
        <v>1314</v>
      </c>
    </row>
    <row r="57" spans="1:16" s="56" customFormat="1" ht="15.75">
      <c r="A57" s="53" t="s">
        <v>5</v>
      </c>
      <c r="B57" s="53" t="s">
        <v>1315</v>
      </c>
      <c r="C57" s="53"/>
      <c r="D57" s="54"/>
      <c r="E57" s="55"/>
      <c r="F57" s="55"/>
      <c r="G57" s="55"/>
      <c r="H57" s="55"/>
      <c r="I57" s="55"/>
      <c r="J57" s="55"/>
      <c r="K57" s="55"/>
      <c r="L57" s="55"/>
      <c r="M57" s="55"/>
      <c r="N57" s="55"/>
      <c r="O57" s="55"/>
      <c r="P57" s="55"/>
    </row>
    <row r="58" spans="1:16">
      <c r="A58" s="42" t="s">
        <v>7</v>
      </c>
      <c r="B58" s="42" t="s">
        <v>1291</v>
      </c>
      <c r="C58" s="42"/>
      <c r="D58" s="42"/>
      <c r="E58" s="42"/>
      <c r="F58" s="42"/>
      <c r="G58" s="42"/>
      <c r="H58" s="42"/>
      <c r="I58" s="42"/>
      <c r="J58" s="42"/>
      <c r="K58" s="42"/>
      <c r="L58" s="42"/>
      <c r="M58" s="42"/>
      <c r="N58" s="42"/>
      <c r="O58" s="42"/>
      <c r="P58" s="42"/>
    </row>
    <row r="59" spans="1:16">
      <c r="A59" s="42" t="s">
        <v>9</v>
      </c>
      <c r="B59" s="43" t="s">
        <v>1316</v>
      </c>
      <c r="C59" s="42"/>
      <c r="D59" s="42"/>
      <c r="E59" s="42"/>
      <c r="F59" s="42"/>
      <c r="G59" s="42"/>
      <c r="H59" s="42"/>
      <c r="I59" s="42"/>
      <c r="J59" s="42"/>
      <c r="K59" s="42"/>
      <c r="L59" s="42"/>
      <c r="M59" s="42"/>
      <c r="N59" s="42"/>
      <c r="O59" s="42"/>
      <c r="P59" s="42"/>
    </row>
    <row r="60" spans="1:16">
      <c r="A60" s="42" t="s">
        <v>11</v>
      </c>
      <c r="B60" s="42" t="s">
        <v>1317</v>
      </c>
      <c r="C60" s="42"/>
      <c r="D60" s="42"/>
      <c r="E60" s="42"/>
      <c r="F60" s="42"/>
      <c r="G60" s="42"/>
      <c r="H60" s="42"/>
      <c r="I60" s="42"/>
      <c r="J60" s="42"/>
      <c r="K60" s="42"/>
      <c r="L60" s="42"/>
      <c r="M60" s="42"/>
      <c r="N60" s="42"/>
      <c r="O60" s="42"/>
      <c r="P60" s="42"/>
    </row>
    <row r="61" spans="1:16">
      <c r="A61" s="42" t="s">
        <v>13</v>
      </c>
      <c r="B61" s="42" t="s">
        <v>58</v>
      </c>
      <c r="C61" s="42"/>
      <c r="D61" s="42"/>
      <c r="E61" s="42"/>
      <c r="F61" s="42"/>
      <c r="G61" s="42"/>
      <c r="H61" s="42"/>
      <c r="I61" s="42"/>
      <c r="J61" s="42"/>
      <c r="K61" s="42"/>
      <c r="L61" s="42"/>
      <c r="M61" s="42"/>
      <c r="N61" s="42"/>
      <c r="O61" s="42"/>
      <c r="P61" s="42"/>
    </row>
    <row r="62" spans="1:16">
      <c r="A62" s="42" t="s">
        <v>15</v>
      </c>
      <c r="B62" s="42">
        <v>1</v>
      </c>
      <c r="C62" s="42"/>
      <c r="D62" s="42"/>
      <c r="E62" s="42"/>
      <c r="F62" s="42"/>
      <c r="G62" s="42"/>
      <c r="H62" s="42"/>
      <c r="I62" s="42"/>
      <c r="J62" s="42"/>
      <c r="K62" s="42"/>
      <c r="L62" s="42"/>
      <c r="M62" s="42"/>
      <c r="N62" s="42"/>
      <c r="O62" s="42"/>
      <c r="P62" s="42"/>
    </row>
    <row r="63" spans="1:16">
      <c r="A63" s="42" t="s">
        <v>16</v>
      </c>
      <c r="B63" s="42" t="s">
        <v>17</v>
      </c>
      <c r="C63" s="42"/>
      <c r="D63" s="42"/>
      <c r="E63" s="42"/>
      <c r="F63" s="42"/>
      <c r="G63" s="42"/>
      <c r="H63" s="42"/>
      <c r="I63" s="42"/>
      <c r="J63" s="42"/>
      <c r="K63" s="42"/>
      <c r="L63" s="42"/>
      <c r="M63" s="42"/>
      <c r="N63" s="42"/>
      <c r="O63" s="42"/>
      <c r="P63" s="42"/>
    </row>
    <row r="64" spans="1:16">
      <c r="A64" s="42" t="s">
        <v>18</v>
      </c>
      <c r="B64" s="42" t="s">
        <v>18</v>
      </c>
      <c r="C64" s="42"/>
      <c r="D64" s="42"/>
      <c r="E64" s="42" t="s">
        <v>197</v>
      </c>
      <c r="F64" s="42"/>
      <c r="G64" s="42"/>
      <c r="H64" s="42"/>
      <c r="I64" s="42"/>
      <c r="J64" s="42"/>
      <c r="K64" s="42"/>
      <c r="L64" s="42"/>
      <c r="M64" s="42"/>
      <c r="N64" s="42"/>
      <c r="O64" s="42"/>
      <c r="P64" s="42"/>
    </row>
    <row r="65" spans="1:16" ht="15.75">
      <c r="A65" s="45" t="s">
        <v>19</v>
      </c>
      <c r="B65" s="42"/>
      <c r="C65" s="42"/>
      <c r="D65" s="42"/>
      <c r="E65" s="42"/>
      <c r="F65" s="42"/>
      <c r="G65" s="42"/>
      <c r="H65" s="42"/>
      <c r="I65" s="42"/>
      <c r="J65" s="42"/>
      <c r="K65" s="42"/>
      <c r="L65" s="42"/>
      <c r="M65" s="42"/>
      <c r="N65" s="42"/>
      <c r="O65" s="42"/>
      <c r="P65" s="42"/>
    </row>
    <row r="66" spans="1:16" ht="15.75">
      <c r="A66" s="45" t="s">
        <v>20</v>
      </c>
      <c r="B66" s="45" t="s">
        <v>21</v>
      </c>
      <c r="C66" s="45" t="s">
        <v>198</v>
      </c>
      <c r="D66" s="45" t="s">
        <v>18</v>
      </c>
      <c r="E66" s="45" t="s">
        <v>22</v>
      </c>
      <c r="F66" s="45" t="s">
        <v>7</v>
      </c>
      <c r="G66" s="45" t="s">
        <v>13</v>
      </c>
      <c r="H66" s="45" t="s">
        <v>16</v>
      </c>
      <c r="I66" s="45" t="s">
        <v>23</v>
      </c>
      <c r="J66" s="45" t="s">
        <v>24</v>
      </c>
      <c r="K66" s="45" t="s">
        <v>25</v>
      </c>
      <c r="L66" s="45" t="s">
        <v>26</v>
      </c>
      <c r="M66" s="45" t="s">
        <v>27</v>
      </c>
      <c r="N66" s="45" t="s">
        <v>28</v>
      </c>
      <c r="O66" s="45" t="s">
        <v>11</v>
      </c>
      <c r="P66" s="45" t="s">
        <v>199</v>
      </c>
    </row>
    <row r="67" spans="1:16" ht="15.75">
      <c r="A67" s="44" t="s">
        <v>1315</v>
      </c>
      <c r="B67" s="44">
        <v>1</v>
      </c>
      <c r="C67" s="44"/>
      <c r="D67" s="44" t="s">
        <v>18</v>
      </c>
      <c r="E67" s="42" t="s">
        <v>2</v>
      </c>
      <c r="F67" s="42" t="s">
        <v>1294</v>
      </c>
      <c r="G67" s="44" t="s">
        <v>58</v>
      </c>
      <c r="H67" s="42" t="s">
        <v>30</v>
      </c>
      <c r="I67" s="42">
        <v>0</v>
      </c>
      <c r="J67" s="44" t="s">
        <v>31</v>
      </c>
      <c r="K67" s="44" t="s">
        <v>31</v>
      </c>
      <c r="L67" s="44" t="s">
        <v>31</v>
      </c>
      <c r="M67" s="44" t="s">
        <v>31</v>
      </c>
      <c r="N67" s="44" t="s">
        <v>31</v>
      </c>
      <c r="O67" s="42"/>
      <c r="P67" s="42"/>
    </row>
    <row r="68" spans="1:16" ht="15.75">
      <c r="A68" t="str">
        <f>B2</f>
        <v>treatment of circuit components, EoL power electronics, PEMFC-bat, Medium-Term</v>
      </c>
      <c r="B68" s="44">
        <v>1</v>
      </c>
      <c r="D68" s="44" t="s">
        <v>18</v>
      </c>
      <c r="E68" s="42" t="s">
        <v>2</v>
      </c>
      <c r="F68" s="42" t="s">
        <v>1294</v>
      </c>
      <c r="G68" s="44" t="s">
        <v>58</v>
      </c>
      <c r="H68" t="s">
        <v>33</v>
      </c>
      <c r="I68" s="42">
        <v>0</v>
      </c>
      <c r="J68" s="44" t="s">
        <v>31</v>
      </c>
      <c r="K68" s="44" t="s">
        <v>31</v>
      </c>
      <c r="L68" s="44" t="s">
        <v>31</v>
      </c>
      <c r="M68" s="44" t="s">
        <v>31</v>
      </c>
      <c r="N68" s="44" t="s">
        <v>31</v>
      </c>
    </row>
    <row r="69" spans="1:16" ht="15.75">
      <c r="A69" t="str">
        <f>B14</f>
        <v>treatment of metals, EoL power electronics, PEMFC-bat, Medium-Term</v>
      </c>
      <c r="B69" s="44">
        <v>1</v>
      </c>
      <c r="D69" s="44" t="s">
        <v>18</v>
      </c>
      <c r="E69" s="42" t="s">
        <v>2</v>
      </c>
      <c r="F69" s="42" t="s">
        <v>1294</v>
      </c>
      <c r="G69" s="44" t="s">
        <v>58</v>
      </c>
      <c r="H69" t="s">
        <v>33</v>
      </c>
      <c r="I69" s="42">
        <v>0</v>
      </c>
      <c r="J69" s="44" t="s">
        <v>31</v>
      </c>
      <c r="K69" s="44" t="s">
        <v>31</v>
      </c>
      <c r="L69" s="44" t="s">
        <v>31</v>
      </c>
      <c r="M69" s="44" t="s">
        <v>31</v>
      </c>
      <c r="N69" s="44" t="s">
        <v>31</v>
      </c>
    </row>
    <row r="70" spans="1:16" ht="15.75">
      <c r="A70" t="str">
        <f>B31</f>
        <v>treatment of plastics, EoL power electronics, PEMFC-bat, Medium-Term</v>
      </c>
      <c r="B70" s="44">
        <v>1</v>
      </c>
      <c r="D70" s="44" t="s">
        <v>18</v>
      </c>
      <c r="E70" s="42" t="s">
        <v>2</v>
      </c>
      <c r="F70" s="42" t="s">
        <v>1294</v>
      </c>
      <c r="G70" s="44" t="s">
        <v>58</v>
      </c>
      <c r="H70" t="s">
        <v>33</v>
      </c>
      <c r="I70" s="42">
        <v>0</v>
      </c>
      <c r="J70" s="44" t="s">
        <v>31</v>
      </c>
      <c r="K70" s="44" t="s">
        <v>31</v>
      </c>
      <c r="L70" s="44" t="s">
        <v>31</v>
      </c>
      <c r="M70" s="44" t="s">
        <v>31</v>
      </c>
      <c r="N70" s="44" t="s">
        <v>31</v>
      </c>
    </row>
    <row r="71" spans="1:16" ht="15.75">
      <c r="A71" t="str">
        <f>B45</f>
        <v>treatment of remaining material components, EoL power electronics, PEMFC-bat, Medium-Term</v>
      </c>
      <c r="B71" s="44">
        <v>1</v>
      </c>
      <c r="D71" s="44" t="s">
        <v>18</v>
      </c>
      <c r="E71" s="42" t="s">
        <v>2</v>
      </c>
      <c r="F71" s="42" t="s">
        <v>1294</v>
      </c>
      <c r="G71" s="44" t="s">
        <v>58</v>
      </c>
      <c r="H71" t="s">
        <v>33</v>
      </c>
      <c r="I71" s="42">
        <v>0</v>
      </c>
      <c r="J71" s="44" t="s">
        <v>31</v>
      </c>
      <c r="K71" s="44" t="s">
        <v>31</v>
      </c>
      <c r="L71" s="44" t="s">
        <v>31</v>
      </c>
      <c r="M71" s="44" t="s">
        <v>31</v>
      </c>
      <c r="N71" s="44" t="s">
        <v>31</v>
      </c>
    </row>
    <row r="72" spans="1:16" ht="15.75">
      <c r="A72" s="47" t="s">
        <v>1318</v>
      </c>
      <c r="B72">
        <f>-34.48</f>
        <v>-34.479999999999997</v>
      </c>
      <c r="D72" s="44" t="s">
        <v>37</v>
      </c>
      <c r="E72" s="42" t="s">
        <v>40</v>
      </c>
      <c r="F72" s="42" t="s">
        <v>1294</v>
      </c>
      <c r="G72" s="44" t="s">
        <v>128</v>
      </c>
      <c r="H72" t="s">
        <v>33</v>
      </c>
      <c r="I72" s="42">
        <v>0</v>
      </c>
      <c r="J72" s="44" t="s">
        <v>31</v>
      </c>
      <c r="K72" s="44" t="s">
        <v>31</v>
      </c>
      <c r="L72" s="44" t="s">
        <v>31</v>
      </c>
      <c r="M72" s="44" t="s">
        <v>31</v>
      </c>
      <c r="N72" s="44" t="s">
        <v>31</v>
      </c>
      <c r="O72" s="44" t="s">
        <v>1319</v>
      </c>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7CE7C-B493-4B1D-B882-2F443D37F707}">
  <sheetPr>
    <tabColor theme="9"/>
  </sheetPr>
  <dimension ref="A1:Y85"/>
  <sheetViews>
    <sheetView topLeftCell="A16" zoomScale="85" zoomScaleNormal="85" workbookViewId="0">
      <selection activeCell="E36" sqref="E36"/>
    </sheetView>
  </sheetViews>
  <sheetFormatPr defaultRowHeight="1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41" customFormat="1" ht="15.75">
      <c r="A2" s="38" t="s">
        <v>5</v>
      </c>
      <c r="B2" s="38" t="s">
        <v>1320</v>
      </c>
      <c r="C2" s="38"/>
      <c r="D2" s="39"/>
      <c r="E2" s="40"/>
      <c r="F2" s="40"/>
      <c r="G2" s="40"/>
      <c r="H2" s="40"/>
      <c r="I2" s="40"/>
      <c r="J2" s="40"/>
      <c r="K2" s="40"/>
      <c r="L2" s="40"/>
      <c r="M2" s="40"/>
      <c r="N2" s="40"/>
      <c r="O2" s="40"/>
      <c r="P2" s="40"/>
    </row>
    <row r="3" spans="1:18">
      <c r="A3" s="42" t="s">
        <v>7</v>
      </c>
      <c r="B3" s="42" t="s">
        <v>1321</v>
      </c>
      <c r="C3" s="42"/>
      <c r="D3" s="42"/>
      <c r="E3" s="42"/>
      <c r="F3" s="42"/>
      <c r="G3" s="42"/>
      <c r="H3" s="42"/>
      <c r="I3" s="42"/>
      <c r="J3" s="42"/>
      <c r="K3" s="42"/>
      <c r="L3" s="42"/>
      <c r="M3" s="42"/>
      <c r="N3" s="42"/>
      <c r="O3" s="42"/>
      <c r="P3" s="42"/>
    </row>
    <row r="4" spans="1:18">
      <c r="A4" s="42" t="s">
        <v>9</v>
      </c>
      <c r="B4" s="43" t="s">
        <v>1322</v>
      </c>
      <c r="C4" s="42"/>
      <c r="D4" s="42"/>
      <c r="E4" s="42"/>
      <c r="F4" s="42"/>
      <c r="G4" s="42"/>
      <c r="H4" s="42"/>
      <c r="I4" s="42"/>
      <c r="J4" s="42"/>
      <c r="K4" s="42"/>
      <c r="L4" s="42"/>
      <c r="M4" s="42"/>
      <c r="N4" s="42"/>
      <c r="O4" s="42"/>
      <c r="P4" s="42"/>
    </row>
    <row r="5" spans="1:18">
      <c r="A5" s="42" t="s">
        <v>11</v>
      </c>
      <c r="B5" s="42" t="s">
        <v>1323</v>
      </c>
      <c r="C5" s="42"/>
      <c r="D5" s="42"/>
      <c r="E5" s="42"/>
      <c r="F5" s="42"/>
      <c r="G5" s="42"/>
      <c r="H5" s="42"/>
      <c r="I5" s="42"/>
      <c r="J5" s="42"/>
      <c r="K5" s="42"/>
      <c r="L5" s="42"/>
      <c r="M5" s="42"/>
      <c r="N5" s="42"/>
      <c r="O5" s="42"/>
      <c r="P5" s="42"/>
    </row>
    <row r="6" spans="1:18">
      <c r="A6" s="42" t="s">
        <v>13</v>
      </c>
      <c r="B6" s="42" t="s">
        <v>58</v>
      </c>
      <c r="C6" s="42"/>
      <c r="D6" s="42"/>
      <c r="E6" s="42"/>
      <c r="F6" s="42"/>
      <c r="G6" s="42"/>
      <c r="H6" s="42"/>
      <c r="I6" s="42"/>
      <c r="J6" s="42"/>
      <c r="K6" s="42"/>
      <c r="L6" s="42"/>
      <c r="M6" s="42"/>
      <c r="N6" s="42"/>
      <c r="O6" s="42"/>
      <c r="P6" s="42"/>
    </row>
    <row r="7" spans="1:18">
      <c r="A7" s="42" t="s">
        <v>15</v>
      </c>
      <c r="B7" s="42">
        <v>1</v>
      </c>
      <c r="C7" s="42"/>
      <c r="D7" s="42"/>
      <c r="E7" s="42"/>
      <c r="F7" s="42"/>
      <c r="G7" s="42"/>
      <c r="H7" s="42"/>
      <c r="I7" s="42"/>
      <c r="J7" s="42"/>
      <c r="K7" s="42"/>
      <c r="L7" s="42"/>
      <c r="M7" s="42"/>
      <c r="N7" s="42"/>
      <c r="O7" s="42"/>
      <c r="P7" s="42"/>
    </row>
    <row r="8" spans="1:18">
      <c r="A8" s="42" t="s">
        <v>16</v>
      </c>
      <c r="B8" s="42" t="s">
        <v>17</v>
      </c>
      <c r="C8" s="42"/>
      <c r="D8" s="42"/>
      <c r="E8" s="42"/>
      <c r="F8" s="42"/>
      <c r="G8" s="42"/>
      <c r="H8" s="42"/>
      <c r="I8" s="42"/>
      <c r="J8" s="42"/>
      <c r="K8" s="42"/>
      <c r="L8" s="42"/>
      <c r="M8" s="42"/>
      <c r="N8" s="42"/>
      <c r="O8" s="42"/>
      <c r="P8" s="42"/>
    </row>
    <row r="9" spans="1:18" ht="15.75">
      <c r="A9" s="42" t="s">
        <v>18</v>
      </c>
      <c r="B9" s="44" t="s">
        <v>37</v>
      </c>
      <c r="C9" s="42"/>
      <c r="D9" s="42"/>
      <c r="E9" s="42" t="s">
        <v>197</v>
      </c>
      <c r="F9" s="42"/>
      <c r="G9" s="42"/>
      <c r="H9" s="42"/>
      <c r="I9" s="42"/>
      <c r="J9" s="42"/>
      <c r="K9" s="42"/>
      <c r="L9" s="42"/>
      <c r="M9" s="42"/>
      <c r="N9" s="42"/>
      <c r="O9" s="42"/>
      <c r="P9" s="42"/>
    </row>
    <row r="10" spans="1:18" ht="15.75">
      <c r="A10" s="45" t="s">
        <v>19</v>
      </c>
      <c r="B10" s="42"/>
      <c r="C10" s="42"/>
      <c r="D10" s="42"/>
      <c r="E10" s="42"/>
      <c r="F10" s="42"/>
      <c r="G10" s="42"/>
      <c r="H10" s="42"/>
      <c r="I10" s="42"/>
      <c r="J10" s="42"/>
      <c r="K10" s="42"/>
      <c r="L10" s="42"/>
      <c r="M10" s="42"/>
      <c r="N10" s="42"/>
      <c r="O10" s="42"/>
      <c r="P10" s="42"/>
    </row>
    <row r="11" spans="1:18"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18" ht="15.75">
      <c r="A12" s="44" t="s">
        <v>1320</v>
      </c>
      <c r="B12" s="44">
        <v>1</v>
      </c>
      <c r="C12" s="44"/>
      <c r="D12" s="44" t="s">
        <v>37</v>
      </c>
      <c r="E12" s="42" t="s">
        <v>2</v>
      </c>
      <c r="F12" s="42" t="s">
        <v>1324</v>
      </c>
      <c r="G12" s="44" t="s">
        <v>58</v>
      </c>
      <c r="H12" s="42" t="s">
        <v>30</v>
      </c>
      <c r="I12" s="42">
        <v>0</v>
      </c>
      <c r="J12" s="44" t="s">
        <v>31</v>
      </c>
      <c r="K12" s="44" t="s">
        <v>31</v>
      </c>
      <c r="L12" s="44" t="s">
        <v>31</v>
      </c>
      <c r="M12" s="44" t="s">
        <v>31</v>
      </c>
      <c r="N12" s="44" t="s">
        <v>31</v>
      </c>
      <c r="O12" s="42"/>
      <c r="P12" s="42"/>
    </row>
    <row r="13" spans="1:18" ht="15.75">
      <c r="A13" t="s">
        <v>240</v>
      </c>
      <c r="B13" s="23">
        <f>0.8</f>
        <v>0.8</v>
      </c>
      <c r="C13" s="44"/>
      <c r="D13" s="44" t="s">
        <v>37</v>
      </c>
      <c r="E13" s="47" t="s">
        <v>40</v>
      </c>
      <c r="F13" s="42" t="s">
        <v>29</v>
      </c>
      <c r="G13" s="44" t="s">
        <v>128</v>
      </c>
      <c r="H13" s="42" t="s">
        <v>33</v>
      </c>
      <c r="I13" s="42">
        <v>0</v>
      </c>
      <c r="J13" s="44" t="s">
        <v>31</v>
      </c>
      <c r="K13" s="44" t="s">
        <v>31</v>
      </c>
      <c r="L13" s="44" t="s">
        <v>31</v>
      </c>
      <c r="M13" s="44" t="s">
        <v>31</v>
      </c>
      <c r="N13" s="44" t="s">
        <v>31</v>
      </c>
      <c r="O13" s="42"/>
      <c r="P13" s="42" t="s">
        <v>1325</v>
      </c>
      <c r="R13" t="s">
        <v>1326</v>
      </c>
    </row>
    <row r="14" spans="1:18" ht="15.75">
      <c r="A14" t="s">
        <v>704</v>
      </c>
      <c r="B14" s="23">
        <f>0.8*0.9</f>
        <v>0.72000000000000008</v>
      </c>
      <c r="C14" s="44"/>
      <c r="D14" s="44" t="s">
        <v>37</v>
      </c>
      <c r="E14" s="47" t="s">
        <v>40</v>
      </c>
      <c r="F14" s="42" t="s">
        <v>29</v>
      </c>
      <c r="G14" s="44" t="s">
        <v>58</v>
      </c>
      <c r="H14" s="42" t="s">
        <v>243</v>
      </c>
      <c r="I14" s="42">
        <v>0</v>
      </c>
      <c r="J14" s="44" t="s">
        <v>31</v>
      </c>
      <c r="K14" s="44" t="s">
        <v>31</v>
      </c>
      <c r="L14" s="44" t="s">
        <v>31</v>
      </c>
      <c r="M14" s="44" t="s">
        <v>31</v>
      </c>
      <c r="N14" s="44" t="s">
        <v>31</v>
      </c>
      <c r="O14" s="42"/>
      <c r="P14" s="42" t="s">
        <v>1301</v>
      </c>
      <c r="R14" t="s">
        <v>1326</v>
      </c>
    </row>
    <row r="15" spans="1:18" ht="16.5" customHeight="1">
      <c r="A15" t="s">
        <v>380</v>
      </c>
      <c r="B15" s="23">
        <v>-0.2</v>
      </c>
      <c r="D15" t="s">
        <v>37</v>
      </c>
      <c r="E15" s="47" t="s">
        <v>40</v>
      </c>
      <c r="F15" s="42" t="s">
        <v>1324</v>
      </c>
      <c r="G15" t="s">
        <v>58</v>
      </c>
      <c r="H15" t="s">
        <v>33</v>
      </c>
      <c r="I15">
        <v>0</v>
      </c>
      <c r="J15" t="s">
        <v>31</v>
      </c>
      <c r="K15" t="s">
        <v>31</v>
      </c>
      <c r="L15" t="s">
        <v>31</v>
      </c>
      <c r="M15" t="s">
        <v>31</v>
      </c>
      <c r="N15" t="s">
        <v>31</v>
      </c>
      <c r="O15" s="17"/>
      <c r="P15" s="42" t="s">
        <v>1327</v>
      </c>
      <c r="R15" t="s">
        <v>1326</v>
      </c>
    </row>
    <row r="16" spans="1:18" s="41" customFormat="1" ht="15.75">
      <c r="A16" s="38" t="s">
        <v>5</v>
      </c>
      <c r="B16" s="38" t="s">
        <v>1328</v>
      </c>
      <c r="C16" s="38"/>
      <c r="D16" s="39"/>
      <c r="E16" s="40"/>
      <c r="F16" s="40"/>
      <c r="G16" s="40"/>
      <c r="H16" s="40"/>
      <c r="I16" s="40"/>
      <c r="J16" s="40"/>
      <c r="K16" s="40"/>
      <c r="L16" s="40"/>
      <c r="M16" s="40"/>
      <c r="N16" s="40"/>
      <c r="O16" s="40"/>
      <c r="P16" s="40"/>
    </row>
    <row r="17" spans="1:16">
      <c r="A17" s="42" t="s">
        <v>7</v>
      </c>
      <c r="B17" s="42" t="s">
        <v>1321</v>
      </c>
      <c r="C17" s="42"/>
      <c r="D17" s="42"/>
      <c r="E17" s="42"/>
      <c r="F17" s="42"/>
      <c r="G17" s="42"/>
      <c r="H17" s="42"/>
      <c r="I17" s="42"/>
      <c r="J17" s="42"/>
      <c r="K17" s="42"/>
      <c r="L17" s="42"/>
      <c r="M17" s="42"/>
      <c r="N17" s="42"/>
      <c r="O17" s="42"/>
      <c r="P17" s="42"/>
    </row>
    <row r="18" spans="1:16">
      <c r="A18" s="42" t="s">
        <v>9</v>
      </c>
      <c r="B18" s="43" t="s">
        <v>1329</v>
      </c>
      <c r="C18" s="42"/>
      <c r="D18" s="42"/>
      <c r="E18" s="42"/>
      <c r="F18" s="42"/>
      <c r="G18" s="42"/>
      <c r="H18" s="42"/>
      <c r="I18" s="42"/>
      <c r="J18" s="42"/>
      <c r="K18" s="42"/>
      <c r="L18" s="42"/>
      <c r="M18" s="42"/>
      <c r="N18" s="42"/>
      <c r="O18" s="42"/>
      <c r="P18" s="42"/>
    </row>
    <row r="19" spans="1:16">
      <c r="A19" s="42" t="s">
        <v>11</v>
      </c>
      <c r="B19" s="42" t="s">
        <v>1323</v>
      </c>
      <c r="C19" s="42"/>
      <c r="D19" s="42"/>
      <c r="E19" s="42"/>
      <c r="F19" s="42"/>
      <c r="G19" s="42"/>
      <c r="H19" s="42"/>
      <c r="I19" s="42"/>
      <c r="J19" s="42"/>
      <c r="K19" s="42"/>
      <c r="L19" s="42"/>
      <c r="M19" s="42"/>
      <c r="N19" s="42"/>
      <c r="O19" s="42"/>
      <c r="P19" s="42"/>
    </row>
    <row r="20" spans="1:16">
      <c r="A20" s="42" t="s">
        <v>13</v>
      </c>
      <c r="B20" s="42" t="s">
        <v>58</v>
      </c>
      <c r="C20" s="42"/>
      <c r="D20" s="42"/>
      <c r="E20" s="42"/>
      <c r="F20" s="42"/>
      <c r="G20" s="42"/>
      <c r="H20" s="42"/>
      <c r="I20" s="42"/>
      <c r="J20" s="42"/>
      <c r="K20" s="42"/>
      <c r="L20" s="42"/>
      <c r="M20" s="42"/>
      <c r="N20" s="42"/>
      <c r="O20" s="42"/>
      <c r="P20" s="42"/>
    </row>
    <row r="21" spans="1:16">
      <c r="A21" s="42" t="s">
        <v>15</v>
      </c>
      <c r="B21" s="42">
        <v>1</v>
      </c>
      <c r="C21" s="42"/>
      <c r="D21" s="42"/>
      <c r="E21" s="42"/>
      <c r="F21" s="42"/>
      <c r="G21" s="42"/>
      <c r="H21" s="42"/>
      <c r="I21" s="42"/>
      <c r="J21" s="42"/>
      <c r="K21" s="42"/>
      <c r="L21" s="42"/>
      <c r="M21" s="42"/>
      <c r="N21" s="42"/>
      <c r="O21" s="42"/>
      <c r="P21" s="42"/>
    </row>
    <row r="22" spans="1:16">
      <c r="A22" s="42" t="s">
        <v>16</v>
      </c>
      <c r="B22" s="42" t="s">
        <v>17</v>
      </c>
      <c r="C22" s="42"/>
      <c r="D22" s="42"/>
      <c r="E22" s="42"/>
      <c r="F22" s="42"/>
      <c r="G22" s="42"/>
      <c r="H22" s="42"/>
      <c r="I22" s="42"/>
      <c r="J22" s="42"/>
      <c r="K22" s="42"/>
      <c r="L22" s="42"/>
      <c r="M22" s="42"/>
      <c r="N22" s="42"/>
      <c r="O22" s="42"/>
      <c r="P22" s="42"/>
    </row>
    <row r="23" spans="1:16" ht="15.75">
      <c r="A23" s="42" t="s">
        <v>18</v>
      </c>
      <c r="B23" s="44" t="s">
        <v>37</v>
      </c>
      <c r="C23" s="42"/>
      <c r="D23" s="42"/>
      <c r="E23" s="42" t="s">
        <v>197</v>
      </c>
      <c r="F23" s="42"/>
      <c r="G23" s="42"/>
      <c r="H23" s="42"/>
      <c r="I23" s="42"/>
      <c r="J23" s="42"/>
      <c r="K23" s="42"/>
      <c r="L23" s="42"/>
      <c r="M23" s="42"/>
      <c r="N23" s="42"/>
      <c r="O23" s="42"/>
      <c r="P23" s="42"/>
    </row>
    <row r="24" spans="1:16" ht="15.75">
      <c r="A24" s="45" t="s">
        <v>19</v>
      </c>
      <c r="B24" s="42"/>
      <c r="C24" s="42"/>
      <c r="D24" s="42"/>
      <c r="E24" s="42"/>
      <c r="F24" s="42"/>
      <c r="G24" s="42"/>
      <c r="H24" s="42"/>
      <c r="I24" s="42"/>
      <c r="J24" s="42"/>
      <c r="K24" s="42"/>
      <c r="L24" s="42"/>
      <c r="M24" s="42"/>
      <c r="N24" s="42"/>
      <c r="O24" s="42"/>
      <c r="P24" s="42"/>
    </row>
    <row r="25" spans="1:16" ht="15.75">
      <c r="A25" s="45" t="s">
        <v>20</v>
      </c>
      <c r="B25" s="45" t="s">
        <v>21</v>
      </c>
      <c r="C25" s="45" t="s">
        <v>198</v>
      </c>
      <c r="D25" s="45" t="s">
        <v>18</v>
      </c>
      <c r="E25" s="45" t="s">
        <v>22</v>
      </c>
      <c r="F25" s="45" t="s">
        <v>7</v>
      </c>
      <c r="G25" s="45" t="s">
        <v>13</v>
      </c>
      <c r="H25" s="45" t="s">
        <v>16</v>
      </c>
      <c r="I25" s="45" t="s">
        <v>23</v>
      </c>
      <c r="J25" s="45" t="s">
        <v>24</v>
      </c>
      <c r="K25" s="45" t="s">
        <v>25</v>
      </c>
      <c r="L25" s="45" t="s">
        <v>26</v>
      </c>
      <c r="M25" s="45" t="s">
        <v>27</v>
      </c>
      <c r="N25" s="45" t="s">
        <v>28</v>
      </c>
      <c r="O25" s="45" t="s">
        <v>11</v>
      </c>
      <c r="P25" s="45" t="s">
        <v>199</v>
      </c>
    </row>
    <row r="26" spans="1:16" ht="15.75">
      <c r="A26" s="44" t="str">
        <f>B16</f>
        <v>treatment of aluminium, motors and drives, PEMFC-bat, Medium-Term</v>
      </c>
      <c r="B26" s="44">
        <v>1</v>
      </c>
      <c r="C26" s="44"/>
      <c r="D26" s="44" t="s">
        <v>37</v>
      </c>
      <c r="E26" s="42" t="s">
        <v>2</v>
      </c>
      <c r="F26" s="42" t="s">
        <v>1324</v>
      </c>
      <c r="G26" s="44" t="s">
        <v>58</v>
      </c>
      <c r="H26" s="42" t="s">
        <v>30</v>
      </c>
      <c r="I26" s="42">
        <v>0</v>
      </c>
      <c r="J26" s="44" t="s">
        <v>31</v>
      </c>
      <c r="K26" s="44" t="s">
        <v>31</v>
      </c>
      <c r="L26" s="44" t="s">
        <v>31</v>
      </c>
      <c r="M26" s="44" t="s">
        <v>31</v>
      </c>
      <c r="N26" s="44" t="s">
        <v>31</v>
      </c>
      <c r="O26" s="42"/>
      <c r="P26" s="42"/>
    </row>
    <row r="27" spans="1:16" ht="15.75">
      <c r="A27" t="s">
        <v>245</v>
      </c>
      <c r="B27" s="23">
        <f>0.8</f>
        <v>0.8</v>
      </c>
      <c r="C27" s="44"/>
      <c r="D27" s="44" t="s">
        <v>37</v>
      </c>
      <c r="E27" s="32" t="s">
        <v>40</v>
      </c>
      <c r="F27" s="42" t="s">
        <v>1324</v>
      </c>
      <c r="G27" s="44" t="s">
        <v>128</v>
      </c>
      <c r="H27" s="42" t="s">
        <v>33</v>
      </c>
      <c r="I27" s="42">
        <v>0</v>
      </c>
      <c r="J27" s="44" t="s">
        <v>31</v>
      </c>
      <c r="K27" s="44" t="s">
        <v>31</v>
      </c>
      <c r="L27" s="44" t="s">
        <v>31</v>
      </c>
      <c r="M27" s="44" t="s">
        <v>31</v>
      </c>
      <c r="N27" s="44" t="s">
        <v>31</v>
      </c>
      <c r="O27" s="42" t="s">
        <v>1330</v>
      </c>
      <c r="P27" s="42"/>
    </row>
    <row r="28" spans="1:16" ht="15.75">
      <c r="A28" t="s">
        <v>247</v>
      </c>
      <c r="B28" s="23">
        <f>0.8</f>
        <v>0.8</v>
      </c>
      <c r="C28" s="22" t="s">
        <v>248</v>
      </c>
      <c r="D28" t="s">
        <v>37</v>
      </c>
      <c r="E28" s="46" t="s">
        <v>40</v>
      </c>
      <c r="F28" s="42" t="s">
        <v>1324</v>
      </c>
      <c r="G28" t="s">
        <v>128</v>
      </c>
      <c r="H28" s="42" t="s">
        <v>33</v>
      </c>
      <c r="I28" s="42">
        <v>0</v>
      </c>
      <c r="J28" s="44" t="s">
        <v>31</v>
      </c>
      <c r="K28" s="44" t="s">
        <v>31</v>
      </c>
      <c r="L28" s="44" t="s">
        <v>31</v>
      </c>
      <c r="M28" s="44" t="s">
        <v>31</v>
      </c>
      <c r="N28" s="44" t="s">
        <v>31</v>
      </c>
      <c r="O28" t="s">
        <v>378</v>
      </c>
    </row>
    <row r="29" spans="1:16" ht="15.75">
      <c r="A29" t="s">
        <v>329</v>
      </c>
      <c r="B29" s="23">
        <f>0.8*0.9</f>
        <v>0.72000000000000008</v>
      </c>
      <c r="D29" t="s">
        <v>37</v>
      </c>
      <c r="E29" s="46" t="s">
        <v>40</v>
      </c>
      <c r="F29" s="42" t="s">
        <v>1324</v>
      </c>
      <c r="G29" t="s">
        <v>58</v>
      </c>
      <c r="H29" s="42" t="s">
        <v>243</v>
      </c>
      <c r="I29" s="42">
        <v>0</v>
      </c>
      <c r="J29" s="44" t="s">
        <v>31</v>
      </c>
      <c r="K29" s="44" t="s">
        <v>31</v>
      </c>
      <c r="L29" s="44" t="s">
        <v>31</v>
      </c>
      <c r="M29" s="44" t="s">
        <v>31</v>
      </c>
      <c r="N29" s="44" t="s">
        <v>31</v>
      </c>
      <c r="O29" s="42" t="s">
        <v>1301</v>
      </c>
    </row>
    <row r="30" spans="1:16" ht="16.5" customHeight="1">
      <c r="A30" t="s">
        <v>380</v>
      </c>
      <c r="B30" s="23">
        <v>-0.2</v>
      </c>
      <c r="D30" t="s">
        <v>37</v>
      </c>
      <c r="E30" s="47" t="s">
        <v>40</v>
      </c>
      <c r="F30" s="42" t="s">
        <v>1324</v>
      </c>
      <c r="G30" t="s">
        <v>58</v>
      </c>
      <c r="H30" t="s">
        <v>33</v>
      </c>
      <c r="I30">
        <v>0</v>
      </c>
      <c r="J30" t="s">
        <v>31</v>
      </c>
      <c r="K30" t="s">
        <v>31</v>
      </c>
      <c r="L30" t="s">
        <v>31</v>
      </c>
      <c r="M30" t="s">
        <v>31</v>
      </c>
      <c r="N30" t="s">
        <v>31</v>
      </c>
      <c r="O30" s="42" t="s">
        <v>1327</v>
      </c>
    </row>
    <row r="31" spans="1:16" s="41" customFormat="1" ht="15.75">
      <c r="A31" s="38" t="s">
        <v>5</v>
      </c>
      <c r="B31" s="38" t="s">
        <v>1331</v>
      </c>
      <c r="C31" s="38"/>
      <c r="D31" s="39"/>
      <c r="E31" s="40"/>
      <c r="F31" s="40"/>
      <c r="G31" s="40"/>
      <c r="H31" s="40"/>
      <c r="I31" s="40"/>
      <c r="J31" s="40"/>
      <c r="K31" s="40"/>
      <c r="L31" s="40"/>
      <c r="M31" s="40"/>
      <c r="N31" s="40"/>
      <c r="O31" s="40"/>
      <c r="P31" s="40"/>
    </row>
    <row r="32" spans="1:16">
      <c r="A32" s="42" t="s">
        <v>7</v>
      </c>
      <c r="B32" s="42" t="s">
        <v>1321</v>
      </c>
      <c r="C32" s="42"/>
      <c r="D32" s="42"/>
      <c r="E32" s="42"/>
      <c r="F32" s="42"/>
      <c r="G32" s="42"/>
      <c r="H32" s="42"/>
      <c r="I32" s="42"/>
      <c r="J32" s="42"/>
      <c r="K32" s="42"/>
      <c r="L32" s="42"/>
      <c r="M32" s="42"/>
      <c r="N32" s="42"/>
      <c r="O32" s="42"/>
      <c r="P32" s="42"/>
    </row>
    <row r="33" spans="1:25">
      <c r="A33" s="42" t="s">
        <v>9</v>
      </c>
      <c r="B33" s="43" t="s">
        <v>1332</v>
      </c>
      <c r="C33" s="42"/>
      <c r="D33" s="42"/>
      <c r="E33" s="42"/>
      <c r="F33" s="42"/>
      <c r="G33" s="42"/>
      <c r="H33" s="42"/>
      <c r="I33" s="42"/>
      <c r="J33" s="42"/>
      <c r="K33" s="42"/>
      <c r="L33" s="42"/>
      <c r="M33" s="42"/>
      <c r="N33" s="42"/>
      <c r="O33" s="42"/>
      <c r="P33" s="42"/>
    </row>
    <row r="34" spans="1:25">
      <c r="A34" s="42" t="s">
        <v>11</v>
      </c>
      <c r="B34" s="42" t="s">
        <v>1323</v>
      </c>
      <c r="C34" s="42"/>
      <c r="D34" s="42"/>
      <c r="E34" s="42"/>
      <c r="F34" s="42"/>
      <c r="G34" s="42"/>
      <c r="H34" s="42"/>
      <c r="I34" s="42"/>
      <c r="J34" s="42"/>
      <c r="K34" s="42"/>
      <c r="L34" s="42"/>
      <c r="M34" s="42"/>
      <c r="N34" s="42"/>
      <c r="O34" s="42"/>
      <c r="P34" s="42"/>
    </row>
    <row r="35" spans="1:25">
      <c r="A35" s="42" t="s">
        <v>13</v>
      </c>
      <c r="B35" s="42" t="s">
        <v>58</v>
      </c>
      <c r="C35" s="42"/>
      <c r="D35" s="42"/>
      <c r="E35" s="42"/>
      <c r="F35" s="42"/>
      <c r="G35" s="42"/>
      <c r="H35" s="42"/>
      <c r="I35" s="42"/>
      <c r="J35" s="42"/>
      <c r="K35" s="42"/>
      <c r="L35" s="42"/>
      <c r="M35" s="42"/>
      <c r="N35" s="42"/>
      <c r="O35" s="42"/>
      <c r="P35" s="42"/>
    </row>
    <row r="36" spans="1:25">
      <c r="A36" s="42" t="s">
        <v>15</v>
      </c>
      <c r="B36" s="42">
        <v>1</v>
      </c>
      <c r="C36" s="42"/>
      <c r="D36" s="42"/>
      <c r="E36" s="42"/>
      <c r="F36" s="42"/>
      <c r="G36" s="42"/>
      <c r="H36" s="42"/>
      <c r="I36" s="42"/>
      <c r="J36" s="42"/>
      <c r="K36" s="42"/>
      <c r="L36" s="42"/>
      <c r="M36" s="42"/>
      <c r="N36" s="42"/>
      <c r="O36" s="42"/>
      <c r="P36" s="42"/>
    </row>
    <row r="37" spans="1:25">
      <c r="A37" s="42" t="s">
        <v>16</v>
      </c>
      <c r="B37" s="42" t="s">
        <v>17</v>
      </c>
      <c r="C37" s="42"/>
      <c r="D37" s="42"/>
      <c r="E37" s="42"/>
      <c r="F37" s="42"/>
      <c r="G37" s="42"/>
      <c r="H37" s="42"/>
      <c r="I37" s="42"/>
      <c r="J37" s="42"/>
      <c r="K37" s="42"/>
      <c r="L37" s="42"/>
      <c r="M37" s="42"/>
      <c r="N37" s="42"/>
      <c r="O37" s="42"/>
      <c r="P37" s="42"/>
    </row>
    <row r="38" spans="1:25" ht="15.75">
      <c r="A38" s="42" t="s">
        <v>18</v>
      </c>
      <c r="B38" s="44" t="s">
        <v>37</v>
      </c>
      <c r="C38" s="42"/>
      <c r="D38" s="42"/>
      <c r="E38" s="42" t="s">
        <v>197</v>
      </c>
      <c r="F38" s="42"/>
      <c r="G38" s="42"/>
      <c r="H38" s="42"/>
      <c r="I38" s="42"/>
      <c r="J38" s="42"/>
      <c r="K38" s="42"/>
      <c r="L38" s="42"/>
      <c r="M38" s="42"/>
      <c r="N38" s="42"/>
      <c r="O38" s="42"/>
      <c r="P38" s="42"/>
    </row>
    <row r="39" spans="1:25" ht="15.75">
      <c r="A39" s="45" t="s">
        <v>19</v>
      </c>
      <c r="B39" s="42"/>
      <c r="C39" s="42"/>
      <c r="D39" s="42"/>
      <c r="E39" s="42"/>
      <c r="F39" s="42"/>
      <c r="G39" s="42"/>
      <c r="H39" s="42"/>
      <c r="I39" s="42"/>
      <c r="J39" s="42"/>
      <c r="K39" s="42"/>
      <c r="L39" s="42"/>
      <c r="M39" s="42"/>
      <c r="N39" s="42"/>
      <c r="O39" s="42"/>
      <c r="P39" s="42"/>
    </row>
    <row r="40" spans="1:25" ht="15.75">
      <c r="A40" s="45" t="s">
        <v>20</v>
      </c>
      <c r="B40" s="45" t="s">
        <v>21</v>
      </c>
      <c r="C40" s="45" t="s">
        <v>198</v>
      </c>
      <c r="D40" s="45" t="s">
        <v>18</v>
      </c>
      <c r="E40" s="45" t="s">
        <v>22</v>
      </c>
      <c r="F40" s="45" t="s">
        <v>7</v>
      </c>
      <c r="G40" s="45" t="s">
        <v>13</v>
      </c>
      <c r="H40" s="45" t="s">
        <v>16</v>
      </c>
      <c r="I40" s="45" t="s">
        <v>23</v>
      </c>
      <c r="J40" s="45" t="s">
        <v>24</v>
      </c>
      <c r="K40" s="45" t="s">
        <v>25</v>
      </c>
      <c r="L40" s="45" t="s">
        <v>26</v>
      </c>
      <c r="M40" s="45" t="s">
        <v>27</v>
      </c>
      <c r="N40" s="45" t="s">
        <v>28</v>
      </c>
      <c r="O40" s="45" t="s">
        <v>11</v>
      </c>
      <c r="P40" s="45" t="s">
        <v>199</v>
      </c>
    </row>
    <row r="41" spans="1:25" ht="15.75">
      <c r="A41" s="44" t="str">
        <f>B31</f>
        <v>treatment of copper, motors and drives, PEMFC-bat, Medium-Term</v>
      </c>
      <c r="B41" s="44">
        <v>1</v>
      </c>
      <c r="C41" s="44"/>
      <c r="D41" s="44" t="s">
        <v>37</v>
      </c>
      <c r="E41" s="42" t="s">
        <v>2</v>
      </c>
      <c r="F41" s="42" t="s">
        <v>1324</v>
      </c>
      <c r="G41" s="44" t="s">
        <v>58</v>
      </c>
      <c r="H41" s="42" t="s">
        <v>30</v>
      </c>
      <c r="I41" s="42">
        <v>0</v>
      </c>
      <c r="J41" s="44" t="s">
        <v>31</v>
      </c>
      <c r="K41" s="44" t="s">
        <v>31</v>
      </c>
      <c r="L41" s="44" t="s">
        <v>31</v>
      </c>
      <c r="M41" s="44" t="s">
        <v>31</v>
      </c>
      <c r="N41" s="44" t="s">
        <v>31</v>
      </c>
      <c r="O41" s="42" t="s">
        <v>1330</v>
      </c>
      <c r="P41" s="42"/>
    </row>
    <row r="42" spans="1:25">
      <c r="A42" s="60" t="s">
        <v>424</v>
      </c>
      <c r="B42" s="23">
        <f>0.8</f>
        <v>0.8</v>
      </c>
      <c r="C42" s="61" t="s">
        <v>425</v>
      </c>
      <c r="D42" s="22" t="s">
        <v>37</v>
      </c>
      <c r="E42" s="22" t="s">
        <v>40</v>
      </c>
      <c r="F42" s="42" t="s">
        <v>1324</v>
      </c>
      <c r="G42" s="22" t="s">
        <v>128</v>
      </c>
      <c r="H42" s="22" t="s">
        <v>33</v>
      </c>
      <c r="I42">
        <v>0</v>
      </c>
      <c r="J42" t="s">
        <v>31</v>
      </c>
      <c r="K42" t="s">
        <v>31</v>
      </c>
      <c r="L42" t="s">
        <v>31</v>
      </c>
      <c r="M42" t="s">
        <v>31</v>
      </c>
      <c r="N42" t="s">
        <v>31</v>
      </c>
      <c r="O42" t="s">
        <v>378</v>
      </c>
      <c r="P42" s="22"/>
      <c r="Q42" s="22"/>
      <c r="R42" s="22"/>
      <c r="S42" s="22"/>
      <c r="T42" s="22"/>
      <c r="U42" s="22"/>
      <c r="V42" s="22"/>
      <c r="W42" s="22"/>
      <c r="X42" s="22"/>
      <c r="Y42" s="22"/>
    </row>
    <row r="43" spans="1:25">
      <c r="A43" s="60" t="s">
        <v>1302</v>
      </c>
      <c r="B43" s="23">
        <f>0.8*0.9</f>
        <v>0.72000000000000008</v>
      </c>
      <c r="C43" s="22"/>
      <c r="D43" s="22" t="s">
        <v>37</v>
      </c>
      <c r="E43" s="22" t="s">
        <v>40</v>
      </c>
      <c r="F43" s="42" t="s">
        <v>1324</v>
      </c>
      <c r="G43" s="22" t="s">
        <v>58</v>
      </c>
      <c r="H43" s="22" t="s">
        <v>243</v>
      </c>
      <c r="I43">
        <v>0</v>
      </c>
      <c r="J43" t="s">
        <v>31</v>
      </c>
      <c r="K43" t="s">
        <v>31</v>
      </c>
      <c r="L43" t="s">
        <v>31</v>
      </c>
      <c r="M43" t="s">
        <v>31</v>
      </c>
      <c r="N43" t="s">
        <v>31</v>
      </c>
      <c r="O43" s="42" t="s">
        <v>1301</v>
      </c>
      <c r="P43" s="22"/>
      <c r="Q43" s="22"/>
      <c r="R43" s="22"/>
      <c r="S43" s="22"/>
      <c r="T43" s="22"/>
      <c r="U43" s="22"/>
      <c r="V43" s="22"/>
      <c r="W43" s="22"/>
      <c r="X43" s="22"/>
      <c r="Y43" s="22"/>
    </row>
    <row r="44" spans="1:25" ht="16.5" customHeight="1">
      <c r="A44" t="s">
        <v>380</v>
      </c>
      <c r="B44" s="23">
        <v>-0.2</v>
      </c>
      <c r="D44" t="s">
        <v>37</v>
      </c>
      <c r="E44" s="47" t="s">
        <v>40</v>
      </c>
      <c r="F44" s="42" t="s">
        <v>1324</v>
      </c>
      <c r="G44" t="s">
        <v>58</v>
      </c>
      <c r="H44" t="s">
        <v>33</v>
      </c>
      <c r="I44">
        <v>0</v>
      </c>
      <c r="J44" t="s">
        <v>31</v>
      </c>
      <c r="K44" t="s">
        <v>31</v>
      </c>
      <c r="L44" t="s">
        <v>31</v>
      </c>
      <c r="M44" t="s">
        <v>31</v>
      </c>
      <c r="N44" t="s">
        <v>31</v>
      </c>
      <c r="O44" s="42" t="s">
        <v>1327</v>
      </c>
    </row>
    <row r="45" spans="1:25" s="41" customFormat="1" ht="15.75">
      <c r="A45" s="38" t="s">
        <v>5</v>
      </c>
      <c r="B45" s="38" t="s">
        <v>1333</v>
      </c>
      <c r="C45" s="38"/>
      <c r="D45" s="39"/>
      <c r="E45" s="40"/>
      <c r="F45" s="40"/>
      <c r="G45" s="40"/>
      <c r="H45" s="40"/>
      <c r="I45" s="40"/>
      <c r="J45" s="40"/>
      <c r="K45" s="40"/>
      <c r="L45" s="40"/>
      <c r="M45" s="40"/>
      <c r="N45" s="40"/>
      <c r="O45" s="40"/>
      <c r="P45" s="40"/>
    </row>
    <row r="46" spans="1:25">
      <c r="A46" s="42" t="s">
        <v>7</v>
      </c>
      <c r="B46" s="42" t="s">
        <v>1321</v>
      </c>
      <c r="C46" s="42"/>
      <c r="D46" s="42"/>
      <c r="E46" s="42"/>
      <c r="F46" s="42"/>
      <c r="G46" s="42"/>
      <c r="H46" s="42"/>
      <c r="I46" s="42"/>
      <c r="J46" s="42"/>
      <c r="K46" s="42"/>
      <c r="L46" s="42"/>
      <c r="M46" s="42"/>
      <c r="N46" s="42"/>
      <c r="O46" s="42"/>
      <c r="P46" s="42"/>
    </row>
    <row r="47" spans="1:25">
      <c r="A47" s="42" t="s">
        <v>9</v>
      </c>
      <c r="B47" s="43" t="s">
        <v>1334</v>
      </c>
      <c r="C47" s="42"/>
      <c r="D47" s="42"/>
      <c r="E47" s="42"/>
      <c r="F47" s="42"/>
      <c r="G47" s="42"/>
      <c r="H47" s="42"/>
      <c r="I47" s="42"/>
      <c r="J47" s="42"/>
      <c r="K47" s="42"/>
      <c r="L47" s="42"/>
      <c r="M47" s="42"/>
      <c r="N47" s="42"/>
      <c r="O47" s="42"/>
      <c r="P47" s="42"/>
    </row>
    <row r="48" spans="1:25">
      <c r="A48" s="42" t="s">
        <v>11</v>
      </c>
      <c r="B48" s="42" t="s">
        <v>1323</v>
      </c>
      <c r="C48" s="42"/>
      <c r="D48" s="42"/>
      <c r="E48" s="42"/>
      <c r="F48" s="42"/>
      <c r="G48" s="42"/>
      <c r="H48" s="42"/>
      <c r="I48" s="42"/>
      <c r="J48" s="42"/>
      <c r="K48" s="42"/>
      <c r="L48" s="42"/>
      <c r="M48" s="42"/>
      <c r="N48" s="42"/>
      <c r="O48" s="42"/>
      <c r="P48" s="42"/>
    </row>
    <row r="49" spans="1:16">
      <c r="A49" s="42" t="s">
        <v>13</v>
      </c>
      <c r="B49" s="42" t="s">
        <v>58</v>
      </c>
      <c r="C49" s="42"/>
      <c r="D49" s="42"/>
      <c r="E49" s="42"/>
      <c r="F49" s="42"/>
      <c r="G49" s="42"/>
      <c r="H49" s="42"/>
      <c r="I49" s="42"/>
      <c r="J49" s="42"/>
      <c r="K49" s="42"/>
      <c r="L49" s="42"/>
      <c r="M49" s="42"/>
      <c r="N49" s="42"/>
      <c r="O49" s="42"/>
      <c r="P49" s="42"/>
    </row>
    <row r="50" spans="1:16">
      <c r="A50" s="42" t="s">
        <v>15</v>
      </c>
      <c r="B50" s="42">
        <v>1</v>
      </c>
      <c r="C50" s="42"/>
      <c r="D50" s="42"/>
      <c r="E50" s="42"/>
      <c r="F50" s="42"/>
      <c r="G50" s="42"/>
      <c r="H50" s="42"/>
      <c r="I50" s="42"/>
      <c r="J50" s="42"/>
      <c r="K50" s="42"/>
      <c r="L50" s="42"/>
      <c r="M50" s="42"/>
      <c r="N50" s="42"/>
      <c r="O50" s="42"/>
      <c r="P50" s="42"/>
    </row>
    <row r="51" spans="1:16">
      <c r="A51" s="42" t="s">
        <v>16</v>
      </c>
      <c r="B51" s="42" t="s">
        <v>17</v>
      </c>
      <c r="C51" s="42"/>
      <c r="D51" s="42"/>
      <c r="E51" s="42"/>
      <c r="F51" s="42"/>
      <c r="G51" s="42"/>
      <c r="H51" s="42"/>
      <c r="I51" s="42"/>
      <c r="J51" s="42"/>
      <c r="K51" s="42"/>
      <c r="L51" s="42"/>
      <c r="M51" s="42"/>
      <c r="N51" s="42"/>
      <c r="O51" s="42"/>
      <c r="P51" s="42"/>
    </row>
    <row r="52" spans="1:16" ht="15.75">
      <c r="A52" s="42" t="s">
        <v>18</v>
      </c>
      <c r="B52" s="44" t="s">
        <v>37</v>
      </c>
      <c r="C52" s="42"/>
      <c r="D52" s="42"/>
      <c r="E52" s="42" t="s">
        <v>197</v>
      </c>
      <c r="F52" s="42"/>
      <c r="G52" s="42"/>
      <c r="H52" s="42"/>
      <c r="I52" s="42"/>
      <c r="J52" s="42"/>
      <c r="K52" s="42"/>
      <c r="L52" s="42"/>
      <c r="M52" s="42"/>
      <c r="N52" s="42"/>
      <c r="O52" s="42"/>
      <c r="P52" s="42"/>
    </row>
    <row r="53" spans="1:16" ht="15.75">
      <c r="A53" s="45" t="s">
        <v>19</v>
      </c>
      <c r="B53" s="42"/>
      <c r="C53" s="42"/>
      <c r="D53" s="42"/>
      <c r="E53" s="42"/>
      <c r="F53" s="42"/>
      <c r="G53" s="42"/>
      <c r="H53" s="42"/>
      <c r="I53" s="42"/>
      <c r="J53" s="42"/>
      <c r="K53" s="42"/>
      <c r="L53" s="42"/>
      <c r="M53" s="42"/>
      <c r="N53" s="42"/>
      <c r="O53" s="42"/>
      <c r="P53" s="42"/>
    </row>
    <row r="54" spans="1:16" ht="15.75">
      <c r="A54" s="45" t="s">
        <v>20</v>
      </c>
      <c r="B54" s="45" t="s">
        <v>21</v>
      </c>
      <c r="C54" s="45" t="s">
        <v>198</v>
      </c>
      <c r="D54" s="45" t="s">
        <v>18</v>
      </c>
      <c r="E54" s="45" t="s">
        <v>22</v>
      </c>
      <c r="F54" s="45" t="s">
        <v>7</v>
      </c>
      <c r="G54" s="45" t="s">
        <v>13</v>
      </c>
      <c r="H54" s="45" t="s">
        <v>16</v>
      </c>
      <c r="I54" s="45" t="s">
        <v>23</v>
      </c>
      <c r="J54" s="45" t="s">
        <v>24</v>
      </c>
      <c r="K54" s="45" t="s">
        <v>25</v>
      </c>
      <c r="L54" s="45" t="s">
        <v>26</v>
      </c>
      <c r="M54" s="45" t="s">
        <v>27</v>
      </c>
      <c r="N54" s="45" t="s">
        <v>28</v>
      </c>
      <c r="O54" s="45" t="s">
        <v>11</v>
      </c>
      <c r="P54" s="45" t="s">
        <v>199</v>
      </c>
    </row>
    <row r="55" spans="1:16" ht="15.75">
      <c r="A55" s="44" t="str">
        <f>B45</f>
        <v>treatment of permanent magnet, motors and drives, PEMFC-bat, Medium-Term</v>
      </c>
      <c r="B55" s="44">
        <v>1</v>
      </c>
      <c r="C55" s="44"/>
      <c r="D55" s="44" t="s">
        <v>37</v>
      </c>
      <c r="E55" s="42" t="s">
        <v>2</v>
      </c>
      <c r="F55" s="42" t="s">
        <v>1324</v>
      </c>
      <c r="G55" s="44" t="s">
        <v>58</v>
      </c>
      <c r="H55" s="42" t="s">
        <v>30</v>
      </c>
      <c r="I55" s="42">
        <v>0</v>
      </c>
      <c r="J55" s="44" t="s">
        <v>31</v>
      </c>
      <c r="K55" s="44" t="s">
        <v>31</v>
      </c>
      <c r="L55" s="44" t="s">
        <v>31</v>
      </c>
      <c r="M55" s="44" t="s">
        <v>31</v>
      </c>
      <c r="N55" s="44" t="s">
        <v>31</v>
      </c>
      <c r="O55" s="42" t="s">
        <v>1335</v>
      </c>
      <c r="P55" s="42"/>
    </row>
    <row r="56" spans="1:16" ht="15.75">
      <c r="A56" s="47" t="s">
        <v>1336</v>
      </c>
      <c r="B56">
        <v>-1</v>
      </c>
      <c r="C56" s="44" t="s">
        <v>1337</v>
      </c>
      <c r="D56" s="44" t="s">
        <v>37</v>
      </c>
      <c r="E56" s="62" t="s">
        <v>40</v>
      </c>
      <c r="F56" s="42" t="s">
        <v>1324</v>
      </c>
      <c r="G56" s="44" t="s">
        <v>58</v>
      </c>
      <c r="H56" t="s">
        <v>33</v>
      </c>
      <c r="I56" s="42">
        <v>0</v>
      </c>
      <c r="J56" s="44" t="s">
        <v>31</v>
      </c>
      <c r="K56" s="44" t="s">
        <v>31</v>
      </c>
      <c r="L56" s="44" t="s">
        <v>31</v>
      </c>
      <c r="M56" s="44" t="s">
        <v>31</v>
      </c>
      <c r="N56" s="44" t="s">
        <v>31</v>
      </c>
      <c r="O56" t="s">
        <v>1338</v>
      </c>
    </row>
    <row r="57" spans="1:16" ht="15.75">
      <c r="A57" s="62" t="s">
        <v>711</v>
      </c>
      <c r="B57">
        <f>0.65</f>
        <v>0.65</v>
      </c>
      <c r="D57" s="44" t="s">
        <v>37</v>
      </c>
      <c r="E57" s="62" t="s">
        <v>40</v>
      </c>
      <c r="F57" s="42" t="s">
        <v>1324</v>
      </c>
      <c r="G57" s="62" t="s">
        <v>58</v>
      </c>
      <c r="H57" s="62" t="s">
        <v>243</v>
      </c>
      <c r="I57" s="42">
        <v>0</v>
      </c>
      <c r="J57" s="44" t="s">
        <v>31</v>
      </c>
      <c r="K57" s="44" t="s">
        <v>31</v>
      </c>
      <c r="L57" s="44" t="s">
        <v>31</v>
      </c>
      <c r="M57" s="44" t="s">
        <v>31</v>
      </c>
      <c r="N57" s="44" t="s">
        <v>31</v>
      </c>
      <c r="O57" t="s">
        <v>1339</v>
      </c>
    </row>
    <row r="58" spans="1:16" ht="15.75">
      <c r="A58" s="47" t="s">
        <v>1340</v>
      </c>
      <c r="B58" s="62">
        <f>-(1-B57)</f>
        <v>-0.35</v>
      </c>
      <c r="C58" s="62"/>
      <c r="D58" s="44" t="s">
        <v>37</v>
      </c>
      <c r="E58" s="62" t="s">
        <v>40</v>
      </c>
      <c r="F58" s="42" t="s">
        <v>1324</v>
      </c>
      <c r="G58" s="62" t="s">
        <v>58</v>
      </c>
      <c r="H58" t="s">
        <v>33</v>
      </c>
      <c r="I58" s="42">
        <v>0</v>
      </c>
      <c r="J58" s="44" t="s">
        <v>31</v>
      </c>
      <c r="K58" s="44" t="s">
        <v>31</v>
      </c>
      <c r="L58" s="44" t="s">
        <v>31</v>
      </c>
      <c r="M58" s="44" t="s">
        <v>31</v>
      </c>
      <c r="N58" s="44" t="s">
        <v>31</v>
      </c>
      <c r="O58" s="44" t="s">
        <v>1341</v>
      </c>
    </row>
    <row r="59" spans="1:16" s="56" customFormat="1" ht="15.75">
      <c r="A59" s="53" t="s">
        <v>5</v>
      </c>
      <c r="B59" s="53" t="s">
        <v>1342</v>
      </c>
      <c r="C59" s="53"/>
      <c r="D59" s="54"/>
      <c r="E59" s="55"/>
      <c r="F59" s="55"/>
      <c r="G59" s="55"/>
      <c r="H59" s="55"/>
      <c r="I59" s="55"/>
      <c r="J59" s="55"/>
      <c r="K59" s="55"/>
      <c r="L59" s="55"/>
      <c r="M59" s="55"/>
      <c r="N59" s="55"/>
      <c r="O59" s="55"/>
      <c r="P59" s="55"/>
    </row>
    <row r="60" spans="1:16">
      <c r="A60" s="42" t="s">
        <v>7</v>
      </c>
      <c r="B60" s="42" t="s">
        <v>1321</v>
      </c>
      <c r="C60" s="42"/>
      <c r="D60" s="42"/>
      <c r="E60" s="42"/>
      <c r="F60" s="42"/>
      <c r="G60" s="42"/>
      <c r="H60" s="42"/>
      <c r="I60" s="42"/>
      <c r="J60" s="42"/>
      <c r="K60" s="42"/>
      <c r="L60" s="42"/>
      <c r="M60" s="42"/>
      <c r="N60" s="42"/>
      <c r="O60" s="42"/>
      <c r="P60" s="42"/>
    </row>
    <row r="61" spans="1:16">
      <c r="A61" s="42" t="s">
        <v>9</v>
      </c>
      <c r="B61" s="43" t="s">
        <v>1343</v>
      </c>
      <c r="C61" s="42"/>
      <c r="D61" s="42"/>
      <c r="E61" s="42"/>
      <c r="F61" s="42"/>
      <c r="G61" s="42"/>
      <c r="H61" s="42"/>
      <c r="I61" s="42"/>
      <c r="J61" s="42"/>
      <c r="K61" s="42"/>
      <c r="L61" s="42"/>
      <c r="M61" s="42"/>
      <c r="N61" s="42"/>
      <c r="O61" s="42"/>
      <c r="P61" s="42"/>
    </row>
    <row r="62" spans="1:16">
      <c r="A62" s="42" t="s">
        <v>11</v>
      </c>
      <c r="B62" s="42" t="s">
        <v>1344</v>
      </c>
      <c r="C62" s="42"/>
      <c r="D62" s="42"/>
      <c r="E62" s="42"/>
      <c r="F62" s="42"/>
      <c r="G62" s="42"/>
      <c r="H62" s="42"/>
      <c r="I62" s="42"/>
      <c r="J62" s="42"/>
      <c r="K62" s="42"/>
      <c r="L62" s="42"/>
      <c r="M62" s="42"/>
      <c r="N62" s="42"/>
      <c r="O62" s="42"/>
      <c r="P62" s="42"/>
    </row>
    <row r="63" spans="1:16">
      <c r="A63" s="42" t="s">
        <v>13</v>
      </c>
      <c r="B63" s="42" t="s">
        <v>58</v>
      </c>
      <c r="C63" s="42"/>
      <c r="D63" s="42"/>
      <c r="E63" s="42"/>
      <c r="F63" s="42"/>
      <c r="G63" s="42"/>
      <c r="H63" s="42"/>
      <c r="I63" s="42"/>
      <c r="J63" s="42"/>
      <c r="K63" s="42"/>
      <c r="L63" s="42"/>
      <c r="M63" s="42"/>
      <c r="N63" s="42"/>
      <c r="O63" s="42"/>
      <c r="P63" s="42"/>
    </row>
    <row r="64" spans="1:16">
      <c r="A64" s="42" t="s">
        <v>15</v>
      </c>
      <c r="B64" s="42">
        <v>1</v>
      </c>
      <c r="C64" s="42"/>
      <c r="D64" s="42"/>
      <c r="E64" s="42"/>
      <c r="F64" s="42"/>
      <c r="G64" s="42"/>
      <c r="H64" s="42"/>
      <c r="I64" s="42"/>
      <c r="J64" s="42"/>
      <c r="K64" s="42"/>
      <c r="L64" s="42"/>
      <c r="M64" s="42"/>
      <c r="N64" s="42"/>
      <c r="O64" s="42"/>
      <c r="P64" s="42"/>
    </row>
    <row r="65" spans="1:16">
      <c r="A65" s="42" t="s">
        <v>16</v>
      </c>
      <c r="B65" s="42" t="s">
        <v>17</v>
      </c>
      <c r="C65" s="42"/>
      <c r="D65" s="42"/>
      <c r="E65" s="42"/>
      <c r="F65" s="42"/>
      <c r="G65" s="42"/>
      <c r="H65" s="42"/>
      <c r="I65" s="42"/>
      <c r="J65" s="42"/>
      <c r="K65" s="42"/>
      <c r="L65" s="42"/>
      <c r="M65" s="42"/>
      <c r="N65" s="42"/>
      <c r="O65" s="42"/>
      <c r="P65" s="42"/>
    </row>
    <row r="66" spans="1:16" ht="15.75">
      <c r="A66" s="42" t="s">
        <v>18</v>
      </c>
      <c r="B66" s="44" t="s">
        <v>18</v>
      </c>
      <c r="C66" s="42"/>
      <c r="D66" s="42"/>
      <c r="E66" s="42" t="s">
        <v>197</v>
      </c>
      <c r="F66" s="42"/>
      <c r="G66" s="42"/>
      <c r="H66" s="42"/>
      <c r="I66" s="42"/>
      <c r="J66" s="42"/>
      <c r="K66" s="42"/>
      <c r="L66" s="42"/>
      <c r="M66" s="42"/>
      <c r="N66" s="42"/>
      <c r="O66" s="42"/>
      <c r="P66" s="42"/>
    </row>
    <row r="67" spans="1:16" ht="15.75">
      <c r="A67" s="45" t="s">
        <v>19</v>
      </c>
      <c r="B67" s="42"/>
      <c r="C67" s="42"/>
      <c r="D67" s="42"/>
      <c r="E67" s="42"/>
      <c r="F67" s="42"/>
      <c r="G67" s="42"/>
      <c r="H67" s="42"/>
      <c r="I67" s="42"/>
      <c r="J67" s="42"/>
      <c r="K67" s="42"/>
      <c r="L67" s="42"/>
      <c r="M67" s="42"/>
      <c r="N67" s="42"/>
      <c r="O67" s="42"/>
      <c r="P67" s="42"/>
    </row>
    <row r="68" spans="1:16" ht="15.75">
      <c r="A68" s="45" t="s">
        <v>20</v>
      </c>
      <c r="B68" s="45" t="s">
        <v>21</v>
      </c>
      <c r="C68" s="45" t="s">
        <v>198</v>
      </c>
      <c r="D68" s="45" t="s">
        <v>18</v>
      </c>
      <c r="E68" s="45" t="s">
        <v>22</v>
      </c>
      <c r="F68" s="45" t="s">
        <v>7</v>
      </c>
      <c r="G68" s="45" t="s">
        <v>13</v>
      </c>
      <c r="H68" s="45" t="s">
        <v>16</v>
      </c>
      <c r="I68" s="45" t="s">
        <v>23</v>
      </c>
      <c r="J68" s="45" t="s">
        <v>24</v>
      </c>
      <c r="K68" s="45" t="s">
        <v>25</v>
      </c>
      <c r="L68" s="45" t="s">
        <v>26</v>
      </c>
      <c r="M68" s="45" t="s">
        <v>27</v>
      </c>
      <c r="N68" s="45" t="s">
        <v>28</v>
      </c>
      <c r="O68" s="45" t="s">
        <v>11</v>
      </c>
      <c r="P68" s="45" t="s">
        <v>199</v>
      </c>
    </row>
    <row r="69" spans="1:16" ht="15.75">
      <c r="A69" s="44" t="str">
        <f>$B$59</f>
        <v>treatment of motor, motors and drives, PEMFC-bat, Medium-Term</v>
      </c>
      <c r="B69" s="44">
        <v>1</v>
      </c>
      <c r="C69" s="44"/>
      <c r="D69" s="44" t="s">
        <v>18</v>
      </c>
      <c r="E69" s="42" t="s">
        <v>2</v>
      </c>
      <c r="F69" s="42" t="s">
        <v>1324</v>
      </c>
      <c r="G69" s="44" t="s">
        <v>58</v>
      </c>
      <c r="H69" s="42" t="s">
        <v>30</v>
      </c>
      <c r="I69" s="42">
        <v>0</v>
      </c>
      <c r="J69" s="44" t="s">
        <v>31</v>
      </c>
      <c r="K69" s="44" t="s">
        <v>31</v>
      </c>
      <c r="L69" s="44" t="s">
        <v>31</v>
      </c>
      <c r="M69" s="44" t="s">
        <v>31</v>
      </c>
      <c r="N69" s="44" t="s">
        <v>31</v>
      </c>
      <c r="O69" s="42"/>
      <c r="P69" s="42"/>
    </row>
    <row r="70" spans="1:16" ht="15.75">
      <c r="A70" t="str">
        <f>$A$12</f>
        <v>treatment of steel, motors and drives, PEMFC-bat, Medium-Term</v>
      </c>
      <c r="B70">
        <v>35.929270000000002</v>
      </c>
      <c r="D70" t="s">
        <v>37</v>
      </c>
      <c r="E70" s="42" t="s">
        <v>2</v>
      </c>
      <c r="F70" s="42" t="s">
        <v>1324</v>
      </c>
      <c r="G70" s="44" t="s">
        <v>58</v>
      </c>
      <c r="H70" s="42" t="s">
        <v>33</v>
      </c>
      <c r="I70" s="42">
        <v>0</v>
      </c>
      <c r="J70" s="44" t="s">
        <v>31</v>
      </c>
      <c r="K70" s="44" t="s">
        <v>31</v>
      </c>
      <c r="L70" s="44" t="s">
        <v>31</v>
      </c>
      <c r="M70" s="44" t="s">
        <v>31</v>
      </c>
      <c r="N70" s="44" t="s">
        <v>31</v>
      </c>
    </row>
    <row r="71" spans="1:16" ht="15.75">
      <c r="A71" t="str">
        <f>$B$16</f>
        <v>treatment of aluminium, motors and drives, PEMFC-bat, Medium-Term</v>
      </c>
      <c r="B71">
        <v>13.24</v>
      </c>
      <c r="D71" t="s">
        <v>37</v>
      </c>
      <c r="E71" s="42" t="s">
        <v>2</v>
      </c>
      <c r="F71" s="42" t="s">
        <v>1324</v>
      </c>
      <c r="G71" s="44" t="s">
        <v>58</v>
      </c>
      <c r="H71" s="42" t="s">
        <v>33</v>
      </c>
      <c r="I71" s="42">
        <v>0</v>
      </c>
      <c r="J71" s="44" t="s">
        <v>31</v>
      </c>
      <c r="K71" s="44" t="s">
        <v>31</v>
      </c>
      <c r="L71" s="44" t="s">
        <v>31</v>
      </c>
      <c r="M71" s="44" t="s">
        <v>31</v>
      </c>
      <c r="N71" s="44" t="s">
        <v>31</v>
      </c>
    </row>
    <row r="72" spans="1:16" ht="15.75">
      <c r="A72" t="str">
        <f>$B$31</f>
        <v>treatment of copper, motors and drives, PEMFC-bat, Medium-Term</v>
      </c>
      <c r="B72">
        <v>9.611989706000001</v>
      </c>
      <c r="D72" t="s">
        <v>37</v>
      </c>
      <c r="E72" s="42" t="s">
        <v>2</v>
      </c>
      <c r="F72" s="42" t="s">
        <v>1324</v>
      </c>
      <c r="G72" s="44" t="s">
        <v>58</v>
      </c>
      <c r="H72" s="42" t="s">
        <v>33</v>
      </c>
      <c r="I72" s="42">
        <v>0</v>
      </c>
      <c r="J72" s="44" t="s">
        <v>31</v>
      </c>
      <c r="K72" s="44" t="s">
        <v>31</v>
      </c>
      <c r="L72" s="44" t="s">
        <v>31</v>
      </c>
      <c r="M72" s="44" t="s">
        <v>31</v>
      </c>
      <c r="N72" s="44" t="s">
        <v>31</v>
      </c>
    </row>
    <row r="73" spans="1:16" ht="15.75">
      <c r="A73" t="str">
        <f>$B$45</f>
        <v>treatment of permanent magnet, motors and drives, PEMFC-bat, Medium-Term</v>
      </c>
      <c r="B73" s="62">
        <v>2.9081000000000001</v>
      </c>
      <c r="D73" t="s">
        <v>37</v>
      </c>
      <c r="E73" s="42" t="s">
        <v>2</v>
      </c>
      <c r="F73" s="42" t="s">
        <v>1324</v>
      </c>
      <c r="G73" s="44" t="s">
        <v>58</v>
      </c>
      <c r="H73" s="42" t="s">
        <v>33</v>
      </c>
      <c r="I73" s="42">
        <v>0</v>
      </c>
      <c r="J73" s="44" t="s">
        <v>31</v>
      </c>
      <c r="K73" s="44" t="s">
        <v>31</v>
      </c>
      <c r="L73" s="44" t="s">
        <v>31</v>
      </c>
      <c r="M73" s="44" t="s">
        <v>31</v>
      </c>
      <c r="N73" s="44" t="s">
        <v>31</v>
      </c>
    </row>
    <row r="74" spans="1:16" s="41" customFormat="1" ht="15.75">
      <c r="A74" s="38" t="s">
        <v>5</v>
      </c>
      <c r="B74" s="38" t="s">
        <v>1345</v>
      </c>
      <c r="C74" s="38"/>
      <c r="D74" s="39"/>
      <c r="E74" s="40"/>
      <c r="F74" s="40"/>
      <c r="G74" s="40"/>
      <c r="H74" s="40"/>
      <c r="I74" s="40"/>
      <c r="J74" s="40"/>
      <c r="K74" s="40"/>
      <c r="L74" s="40"/>
      <c r="M74" s="40"/>
      <c r="N74" s="40"/>
      <c r="O74" s="40"/>
      <c r="P74" s="40"/>
    </row>
    <row r="75" spans="1:16">
      <c r="A75" s="42" t="s">
        <v>7</v>
      </c>
      <c r="B75" s="42" t="s">
        <v>1321</v>
      </c>
      <c r="C75" s="42"/>
      <c r="D75" s="42"/>
      <c r="E75" s="42"/>
      <c r="F75" s="42"/>
      <c r="G75" s="42"/>
      <c r="H75" s="42"/>
      <c r="I75" s="42"/>
      <c r="J75" s="42"/>
      <c r="K75" s="42"/>
      <c r="L75" s="42"/>
      <c r="M75" s="42"/>
      <c r="N75" s="42"/>
      <c r="O75" s="42"/>
      <c r="P75" s="42"/>
    </row>
    <row r="76" spans="1:16">
      <c r="A76" s="42" t="s">
        <v>9</v>
      </c>
      <c r="B76" s="43" t="s">
        <v>1346</v>
      </c>
      <c r="C76" s="42"/>
      <c r="D76" s="42"/>
      <c r="E76" s="42"/>
      <c r="F76" s="42"/>
      <c r="G76" s="42"/>
      <c r="H76" s="42"/>
      <c r="I76" s="42"/>
      <c r="J76" s="42"/>
      <c r="K76" s="42"/>
      <c r="L76" s="42"/>
      <c r="M76" s="42"/>
      <c r="N76" s="42"/>
      <c r="O76" s="42"/>
      <c r="P76" s="42"/>
    </row>
    <row r="77" spans="1:16">
      <c r="A77" s="42" t="s">
        <v>11</v>
      </c>
      <c r="B77" s="42" t="s">
        <v>1347</v>
      </c>
      <c r="C77" s="42"/>
      <c r="D77" s="42"/>
      <c r="E77" s="42"/>
      <c r="F77" s="42"/>
      <c r="G77" s="42"/>
      <c r="H77" s="42"/>
      <c r="I77" s="42"/>
      <c r="J77" s="42"/>
      <c r="K77" s="42"/>
      <c r="L77" s="42"/>
      <c r="M77" s="42"/>
      <c r="N77" s="42"/>
      <c r="O77" s="42"/>
      <c r="P77" s="42"/>
    </row>
    <row r="78" spans="1:16">
      <c r="A78" s="42" t="s">
        <v>13</v>
      </c>
      <c r="B78" s="42" t="s">
        <v>58</v>
      </c>
      <c r="C78" s="42"/>
      <c r="D78" s="42"/>
      <c r="E78" s="42"/>
      <c r="F78" s="42"/>
      <c r="G78" s="42"/>
      <c r="H78" s="42"/>
      <c r="I78" s="42"/>
      <c r="J78" s="42"/>
      <c r="K78" s="42"/>
      <c r="L78" s="42"/>
      <c r="M78" s="42"/>
      <c r="N78" s="42"/>
      <c r="O78" s="42"/>
      <c r="P78" s="42"/>
    </row>
    <row r="79" spans="1:16">
      <c r="A79" s="42" t="s">
        <v>15</v>
      </c>
      <c r="B79" s="42">
        <v>1</v>
      </c>
      <c r="C79" s="42"/>
      <c r="D79" s="42"/>
      <c r="E79" s="42"/>
      <c r="F79" s="42"/>
      <c r="G79" s="42"/>
      <c r="H79" s="42"/>
      <c r="I79" s="42"/>
      <c r="J79" s="42"/>
      <c r="K79" s="42"/>
      <c r="L79" s="42"/>
      <c r="M79" s="42"/>
      <c r="N79" s="42"/>
      <c r="O79" s="42"/>
      <c r="P79" s="42"/>
    </row>
    <row r="80" spans="1:16">
      <c r="A80" s="42" t="s">
        <v>16</v>
      </c>
      <c r="B80" s="42" t="s">
        <v>17</v>
      </c>
      <c r="C80" s="42"/>
      <c r="D80" s="42"/>
      <c r="E80" s="42"/>
      <c r="F80" s="42"/>
      <c r="G80" s="42"/>
      <c r="H80" s="42"/>
      <c r="I80" s="42"/>
      <c r="J80" s="42"/>
      <c r="K80" s="42"/>
      <c r="L80" s="42"/>
      <c r="M80" s="42"/>
      <c r="N80" s="42"/>
      <c r="O80" s="42"/>
      <c r="P80" s="42"/>
    </row>
    <row r="81" spans="1:16" ht="15.75">
      <c r="A81" s="42" t="s">
        <v>18</v>
      </c>
      <c r="B81" s="44" t="s">
        <v>18</v>
      </c>
      <c r="C81" s="42"/>
      <c r="D81" s="42"/>
      <c r="E81" s="42" t="s">
        <v>197</v>
      </c>
      <c r="F81" s="42"/>
      <c r="G81" s="42"/>
      <c r="H81" s="42"/>
      <c r="I81" s="42"/>
      <c r="J81" s="42"/>
      <c r="K81" s="42"/>
      <c r="L81" s="42"/>
      <c r="M81" s="42"/>
      <c r="N81" s="42"/>
      <c r="O81" s="42"/>
      <c r="P81" s="42"/>
    </row>
    <row r="82" spans="1:16" ht="15.75">
      <c r="A82" s="45" t="s">
        <v>19</v>
      </c>
      <c r="B82" s="42"/>
      <c r="C82" s="42"/>
      <c r="D82" s="42"/>
      <c r="E82" s="42"/>
      <c r="F82" s="42"/>
      <c r="G82" s="42"/>
      <c r="H82" s="42"/>
      <c r="I82" s="42"/>
      <c r="J82" s="42"/>
      <c r="K82" s="42"/>
      <c r="L82" s="42"/>
      <c r="M82" s="42"/>
      <c r="N82" s="42"/>
      <c r="O82" s="42"/>
      <c r="P82" s="42"/>
    </row>
    <row r="83" spans="1:16" ht="15.75">
      <c r="A83" s="45" t="s">
        <v>20</v>
      </c>
      <c r="B83" s="45" t="s">
        <v>21</v>
      </c>
      <c r="C83" s="45" t="s">
        <v>198</v>
      </c>
      <c r="D83" s="45" t="s">
        <v>18</v>
      </c>
      <c r="E83" s="45" t="s">
        <v>22</v>
      </c>
      <c r="F83" s="45" t="s">
        <v>7</v>
      </c>
      <c r="G83" s="45" t="s">
        <v>13</v>
      </c>
      <c r="H83" s="45" t="s">
        <v>16</v>
      </c>
      <c r="I83" s="45" t="s">
        <v>23</v>
      </c>
      <c r="J83" s="45" t="s">
        <v>24</v>
      </c>
      <c r="K83" s="45" t="s">
        <v>25</v>
      </c>
      <c r="L83" s="45" t="s">
        <v>26</v>
      </c>
      <c r="M83" s="45" t="s">
        <v>27</v>
      </c>
      <c r="N83" s="45" t="s">
        <v>28</v>
      </c>
      <c r="O83" s="45" t="s">
        <v>11</v>
      </c>
      <c r="P83" s="45" t="s">
        <v>199</v>
      </c>
    </row>
    <row r="84" spans="1:16" ht="15.75">
      <c r="A84" s="44" t="str">
        <f>B74</f>
        <v>treatment of motors and drives, PEMFC-bat, Medium-Term</v>
      </c>
      <c r="B84" s="44">
        <v>1</v>
      </c>
      <c r="C84" s="44"/>
      <c r="D84" s="44" t="s">
        <v>18</v>
      </c>
      <c r="E84" s="42" t="s">
        <v>2</v>
      </c>
      <c r="F84" s="42" t="s">
        <v>1324</v>
      </c>
      <c r="G84" s="44" t="s">
        <v>58</v>
      </c>
      <c r="H84" s="42" t="s">
        <v>30</v>
      </c>
      <c r="I84" s="42">
        <v>0</v>
      </c>
      <c r="J84" s="44" t="s">
        <v>31</v>
      </c>
      <c r="K84" s="44" t="s">
        <v>31</v>
      </c>
      <c r="L84" s="44" t="s">
        <v>31</v>
      </c>
      <c r="M84" s="44" t="s">
        <v>31</v>
      </c>
      <c r="N84" s="44" t="s">
        <v>31</v>
      </c>
      <c r="O84" s="42"/>
      <c r="P84" s="42"/>
    </row>
    <row r="85" spans="1:16">
      <c r="A85" t="str">
        <f>A69</f>
        <v>treatment of motor, motors and drives, PEMFC-bat, Medium-Term</v>
      </c>
      <c r="B85">
        <f t="shared" ref="B85:N85" si="0">B69</f>
        <v>1</v>
      </c>
      <c r="D85" t="str">
        <f t="shared" si="0"/>
        <v>unit</v>
      </c>
      <c r="E85" t="str">
        <f t="shared" si="0"/>
        <v>GENESIS_2040_PEMFC-bat_NDC</v>
      </c>
      <c r="F85" t="str">
        <f t="shared" si="0"/>
        <v>motors and drives, PEMFC-bat, Medium-Term</v>
      </c>
      <c r="G85" t="str">
        <f t="shared" si="0"/>
        <v>GLO</v>
      </c>
      <c r="H85" t="s">
        <v>33</v>
      </c>
      <c r="I85">
        <f t="shared" si="0"/>
        <v>0</v>
      </c>
      <c r="J85" t="str">
        <f t="shared" si="0"/>
        <v>(Unknown)</v>
      </c>
      <c r="K85" t="str">
        <f t="shared" si="0"/>
        <v>(Unknown)</v>
      </c>
      <c r="L85" t="str">
        <f t="shared" si="0"/>
        <v>(Unknown)</v>
      </c>
      <c r="M85" t="str">
        <f t="shared" si="0"/>
        <v>(Unknown)</v>
      </c>
      <c r="N85" t="str">
        <f t="shared" si="0"/>
        <v>(Unknown)</v>
      </c>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FCD6-1C11-4699-B249-EE9EA713E8AD}">
  <sheetPr>
    <tabColor theme="9"/>
  </sheetPr>
  <dimension ref="A1:V128"/>
  <sheetViews>
    <sheetView topLeftCell="A109" workbookViewId="0">
      <selection activeCell="E36" sqref="E36"/>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41" customFormat="1" ht="15.75">
      <c r="A2" s="38" t="s">
        <v>5</v>
      </c>
      <c r="B2" s="38" t="s">
        <v>1348</v>
      </c>
      <c r="C2" s="38"/>
      <c r="D2" s="39"/>
      <c r="E2" s="40"/>
      <c r="F2" s="40"/>
      <c r="G2" s="40"/>
      <c r="H2" s="40"/>
      <c r="I2" s="40"/>
      <c r="J2" s="40"/>
      <c r="K2" s="40"/>
      <c r="L2" s="40"/>
      <c r="M2" s="40"/>
      <c r="N2" s="40"/>
      <c r="O2" s="40"/>
      <c r="P2" s="40"/>
    </row>
    <row r="3" spans="1:22">
      <c r="A3" s="42" t="s">
        <v>7</v>
      </c>
      <c r="B3" s="42" t="s">
        <v>1349</v>
      </c>
      <c r="C3" s="42"/>
      <c r="D3" s="42"/>
      <c r="E3" s="42"/>
      <c r="F3" s="42"/>
      <c r="G3" s="42"/>
      <c r="H3" s="42"/>
      <c r="I3" s="42"/>
      <c r="J3" s="42"/>
      <c r="K3" s="42"/>
      <c r="L3" s="42"/>
      <c r="M3" s="42"/>
      <c r="N3" s="42"/>
      <c r="O3" s="42"/>
      <c r="P3" s="42"/>
    </row>
    <row r="4" spans="1:22">
      <c r="A4" s="42" t="s">
        <v>9</v>
      </c>
      <c r="B4" s="43" t="s">
        <v>1350</v>
      </c>
      <c r="C4" s="42"/>
      <c r="D4" s="42"/>
      <c r="E4" s="42"/>
      <c r="F4" s="42"/>
      <c r="G4" s="42"/>
      <c r="H4" s="42"/>
      <c r="I4" s="42"/>
      <c r="J4" s="42"/>
      <c r="K4" s="42"/>
      <c r="L4" s="42"/>
      <c r="M4" s="42"/>
      <c r="N4" s="42"/>
      <c r="O4" s="42"/>
      <c r="P4" s="42"/>
    </row>
    <row r="5" spans="1:22">
      <c r="A5" s="42" t="s">
        <v>11</v>
      </c>
      <c r="B5" s="42" t="s">
        <v>203</v>
      </c>
      <c r="C5" s="42"/>
      <c r="D5" s="42"/>
      <c r="E5" s="42"/>
      <c r="F5" s="42"/>
      <c r="G5" s="42"/>
      <c r="H5" s="42"/>
      <c r="I5" s="42"/>
      <c r="J5" s="42"/>
      <c r="K5" s="42"/>
      <c r="L5" s="42"/>
      <c r="M5" s="42"/>
      <c r="N5" s="42"/>
      <c r="O5" s="42"/>
      <c r="P5" s="42"/>
    </row>
    <row r="6" spans="1:22">
      <c r="A6" s="42" t="s">
        <v>13</v>
      </c>
      <c r="B6" s="42" t="s">
        <v>58</v>
      </c>
      <c r="C6" s="42"/>
      <c r="D6" s="42"/>
      <c r="E6" s="42"/>
      <c r="F6" s="42"/>
      <c r="G6" s="42"/>
      <c r="H6" s="42"/>
      <c r="I6" s="42"/>
      <c r="J6" s="42"/>
      <c r="K6" s="42"/>
      <c r="L6" s="42"/>
      <c r="M6" s="42"/>
      <c r="N6" s="42"/>
      <c r="O6" s="42"/>
      <c r="P6" s="42"/>
    </row>
    <row r="7" spans="1:22">
      <c r="A7" s="42" t="s">
        <v>15</v>
      </c>
      <c r="B7" s="42">
        <v>1</v>
      </c>
      <c r="C7" s="42"/>
      <c r="D7" s="42"/>
      <c r="E7" s="42"/>
      <c r="F7" s="42"/>
      <c r="G7" s="42"/>
      <c r="H7" s="42"/>
      <c r="I7" s="42"/>
      <c r="J7" s="42"/>
      <c r="K7" s="42"/>
      <c r="L7" s="42"/>
      <c r="M7" s="42"/>
      <c r="N7" s="42"/>
      <c r="O7" s="42"/>
      <c r="P7" s="42"/>
    </row>
    <row r="8" spans="1:22">
      <c r="A8" s="42" t="s">
        <v>16</v>
      </c>
      <c r="B8" s="42" t="s">
        <v>17</v>
      </c>
      <c r="C8" s="42"/>
      <c r="D8" s="42"/>
      <c r="E8" s="42"/>
      <c r="F8" s="42"/>
      <c r="G8" s="42"/>
      <c r="H8" s="42"/>
      <c r="I8" s="42"/>
      <c r="J8" s="42"/>
      <c r="K8" s="42"/>
      <c r="L8" s="42"/>
      <c r="M8" s="42"/>
      <c r="N8" s="42"/>
      <c r="O8" s="42"/>
      <c r="P8" s="42"/>
    </row>
    <row r="9" spans="1:22" ht="15.75">
      <c r="A9" s="42" t="s">
        <v>18</v>
      </c>
      <c r="B9" s="44" t="s">
        <v>37</v>
      </c>
      <c r="C9" s="42"/>
      <c r="D9" s="42"/>
      <c r="E9" s="42" t="s">
        <v>197</v>
      </c>
      <c r="F9" s="42"/>
      <c r="G9" s="42"/>
      <c r="H9" s="42"/>
      <c r="I9" s="42"/>
      <c r="J9" s="42"/>
      <c r="K9" s="42"/>
      <c r="L9" s="42"/>
      <c r="M9" s="42"/>
      <c r="N9" s="42"/>
      <c r="O9" s="42"/>
      <c r="P9" s="42"/>
    </row>
    <row r="10" spans="1:22" ht="15.75">
      <c r="A10" s="45" t="s">
        <v>19</v>
      </c>
      <c r="B10" s="42"/>
      <c r="C10" s="42"/>
      <c r="D10" s="42"/>
      <c r="E10" s="42"/>
      <c r="F10" s="42"/>
      <c r="G10" s="42"/>
      <c r="H10" s="42"/>
      <c r="I10" s="42"/>
      <c r="J10" s="42"/>
      <c r="K10" s="42"/>
      <c r="L10" s="42"/>
      <c r="M10" s="42"/>
      <c r="N10" s="42"/>
      <c r="O10" s="42"/>
      <c r="P10" s="42"/>
    </row>
    <row r="11" spans="1:22"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22" ht="15.75">
      <c r="A12" s="44" t="str">
        <f>B2</f>
        <v>treatment of titanium,powerplant, PEMFC-bat, Medium-Term</v>
      </c>
      <c r="B12" s="44">
        <v>1</v>
      </c>
      <c r="C12" s="44"/>
      <c r="D12" s="44" t="s">
        <v>37</v>
      </c>
      <c r="E12" s="42" t="s">
        <v>2</v>
      </c>
      <c r="F12" s="42" t="s">
        <v>1349</v>
      </c>
      <c r="G12" s="44" t="s">
        <v>58</v>
      </c>
      <c r="H12" s="42" t="s">
        <v>30</v>
      </c>
      <c r="I12" s="42">
        <v>0</v>
      </c>
      <c r="J12" s="44" t="s">
        <v>31</v>
      </c>
      <c r="K12" s="44" t="s">
        <v>31</v>
      </c>
      <c r="L12" s="44" t="s">
        <v>31</v>
      </c>
      <c r="M12" s="44" t="s">
        <v>31</v>
      </c>
      <c r="N12" s="44" t="s">
        <v>31</v>
      </c>
      <c r="O12" s="42"/>
      <c r="P12" s="42" t="s">
        <v>1351</v>
      </c>
    </row>
    <row r="13" spans="1:22">
      <c r="A13" t="s">
        <v>75</v>
      </c>
      <c r="B13">
        <f>U13</f>
        <v>9.5000076</v>
      </c>
      <c r="D13" t="s">
        <v>39</v>
      </c>
      <c r="E13" t="s">
        <v>40</v>
      </c>
      <c r="F13" s="42" t="s">
        <v>1349</v>
      </c>
      <c r="G13" t="s">
        <v>58</v>
      </c>
      <c r="H13" t="s">
        <v>33</v>
      </c>
      <c r="I13">
        <v>2</v>
      </c>
      <c r="J13">
        <v>9.398101209</v>
      </c>
      <c r="K13">
        <v>0.30331501799999999</v>
      </c>
      <c r="L13" t="s">
        <v>31</v>
      </c>
      <c r="M13" t="s">
        <v>31</v>
      </c>
      <c r="N13" t="s">
        <v>31</v>
      </c>
      <c r="O13" t="s">
        <v>241</v>
      </c>
      <c r="P13" t="s">
        <v>1352</v>
      </c>
      <c r="Q13" t="s">
        <v>202</v>
      </c>
      <c r="R13" s="22" t="s">
        <v>1353</v>
      </c>
      <c r="S13" s="22">
        <f>114*0.6*0.5</f>
        <v>34.199999999999996</v>
      </c>
      <c r="T13" s="22" t="s">
        <v>218</v>
      </c>
      <c r="U13" s="22">
        <f>S13*0.277778</f>
        <v>9.5000076</v>
      </c>
      <c r="V13" s="22" t="s">
        <v>216</v>
      </c>
    </row>
    <row r="14" spans="1:22">
      <c r="A14" t="s">
        <v>77</v>
      </c>
      <c r="B14">
        <f>U14</f>
        <v>0.59530026109660583</v>
      </c>
      <c r="D14" t="s">
        <v>42</v>
      </c>
      <c r="E14" t="s">
        <v>40</v>
      </c>
      <c r="F14" s="42" t="s">
        <v>1349</v>
      </c>
      <c r="G14" t="s">
        <v>217</v>
      </c>
      <c r="H14" t="s">
        <v>33</v>
      </c>
      <c r="I14">
        <v>2</v>
      </c>
      <c r="J14">
        <v>6.6281192500000001</v>
      </c>
      <c r="K14">
        <v>0.30331501799999999</v>
      </c>
      <c r="L14" t="s">
        <v>31</v>
      </c>
      <c r="M14" t="s">
        <v>31</v>
      </c>
      <c r="N14" t="s">
        <v>31</v>
      </c>
      <c r="O14" t="s">
        <v>241</v>
      </c>
      <c r="P14" t="s">
        <v>1352</v>
      </c>
      <c r="Q14" t="s">
        <v>202</v>
      </c>
      <c r="R14" s="22" t="s">
        <v>1354</v>
      </c>
      <c r="S14" s="22">
        <f>114*0.4*0.5</f>
        <v>22.8</v>
      </c>
      <c r="T14" s="22" t="s">
        <v>218</v>
      </c>
      <c r="U14" s="22">
        <f>S14/38.3</f>
        <v>0.59530026109660583</v>
      </c>
      <c r="V14" s="22" t="s">
        <v>219</v>
      </c>
    </row>
    <row r="15" spans="1:22">
      <c r="A15" s="60" t="s">
        <v>1355</v>
      </c>
      <c r="B15" s="63">
        <f>S15</f>
        <v>0.5</v>
      </c>
      <c r="C15" s="63"/>
      <c r="D15" s="22" t="s">
        <v>37</v>
      </c>
      <c r="E15" s="22" t="s">
        <v>40</v>
      </c>
      <c r="F15" s="42" t="s">
        <v>1349</v>
      </c>
      <c r="G15" s="22" t="s">
        <v>58</v>
      </c>
      <c r="H15" s="22" t="s">
        <v>243</v>
      </c>
      <c r="I15" s="22">
        <v>2</v>
      </c>
      <c r="J15" s="22">
        <f t="shared" ref="J15" si="0">LN(B15)</f>
        <v>-0.69314718055994529</v>
      </c>
      <c r="K15" s="22">
        <v>0.30331501776206199</v>
      </c>
      <c r="L15" s="22" t="s">
        <v>31</v>
      </c>
      <c r="M15" s="22" t="s">
        <v>31</v>
      </c>
      <c r="N15" s="22" t="s">
        <v>31</v>
      </c>
      <c r="O15" s="22" t="s">
        <v>241</v>
      </c>
      <c r="P15" t="s">
        <v>1352</v>
      </c>
      <c r="Q15" s="22" t="s">
        <v>202</v>
      </c>
      <c r="R15" s="22"/>
      <c r="S15" s="22">
        <v>0.5</v>
      </c>
      <c r="T15" s="22" t="s">
        <v>221</v>
      </c>
    </row>
    <row r="16" spans="1:22" ht="15.75">
      <c r="A16" t="s">
        <v>380</v>
      </c>
      <c r="B16" s="23">
        <f>-0.5</f>
        <v>-0.5</v>
      </c>
      <c r="D16" t="s">
        <v>37</v>
      </c>
      <c r="E16" s="47" t="s">
        <v>40</v>
      </c>
      <c r="F16" s="42" t="s">
        <v>1349</v>
      </c>
      <c r="G16" t="s">
        <v>58</v>
      </c>
      <c r="H16" t="s">
        <v>33</v>
      </c>
      <c r="I16">
        <v>0</v>
      </c>
      <c r="J16" t="s">
        <v>31</v>
      </c>
      <c r="K16" t="s">
        <v>31</v>
      </c>
      <c r="L16" t="s">
        <v>31</v>
      </c>
      <c r="M16" t="s">
        <v>31</v>
      </c>
      <c r="N16" t="s">
        <v>31</v>
      </c>
      <c r="O16" s="17"/>
      <c r="P16" s="42" t="s">
        <v>1356</v>
      </c>
    </row>
    <row r="17" spans="1:17" s="41" customFormat="1" ht="15.75">
      <c r="A17" s="38" t="s">
        <v>5</v>
      </c>
      <c r="B17" s="38" t="s">
        <v>1357</v>
      </c>
      <c r="C17" s="38"/>
      <c r="D17" s="39"/>
      <c r="E17" s="40"/>
      <c r="F17" s="40"/>
      <c r="G17" s="40"/>
      <c r="H17" s="40"/>
      <c r="I17" s="40"/>
      <c r="J17" s="40"/>
      <c r="K17" s="40"/>
      <c r="L17" s="40"/>
      <c r="M17" s="40"/>
      <c r="N17" s="40"/>
      <c r="O17" s="40"/>
      <c r="P17" s="40"/>
    </row>
    <row r="18" spans="1:17">
      <c r="A18" s="42" t="s">
        <v>7</v>
      </c>
      <c r="B18" s="42" t="s">
        <v>1349</v>
      </c>
      <c r="C18" s="42"/>
      <c r="D18" s="42"/>
      <c r="E18" s="42"/>
      <c r="F18" s="42"/>
      <c r="G18" s="42"/>
      <c r="H18" s="42"/>
      <c r="I18" s="42"/>
      <c r="J18" s="42"/>
      <c r="K18" s="42"/>
      <c r="L18" s="42"/>
      <c r="M18" s="42"/>
      <c r="N18" s="42"/>
      <c r="O18" s="42"/>
      <c r="P18" s="42"/>
    </row>
    <row r="19" spans="1:17">
      <c r="A19" s="42" t="s">
        <v>9</v>
      </c>
      <c r="B19" s="43" t="s">
        <v>1358</v>
      </c>
      <c r="C19" s="42"/>
      <c r="D19" s="42"/>
      <c r="E19" s="42"/>
      <c r="F19" s="42"/>
      <c r="G19" s="42"/>
      <c r="H19" s="42"/>
      <c r="I19" s="42"/>
      <c r="J19" s="42"/>
      <c r="K19" s="42"/>
      <c r="L19" s="42"/>
      <c r="M19" s="42"/>
      <c r="N19" s="42"/>
      <c r="O19" s="42"/>
      <c r="P19" s="42"/>
    </row>
    <row r="20" spans="1:17">
      <c r="A20" s="42" t="s">
        <v>11</v>
      </c>
      <c r="B20" s="42" t="s">
        <v>203</v>
      </c>
      <c r="C20" s="42"/>
      <c r="D20" s="42"/>
      <c r="E20" s="42"/>
      <c r="F20" s="42"/>
      <c r="G20" s="42"/>
      <c r="H20" s="42"/>
      <c r="I20" s="42"/>
      <c r="J20" s="42"/>
      <c r="K20" s="42"/>
      <c r="L20" s="42"/>
      <c r="M20" s="42"/>
      <c r="N20" s="42"/>
      <c r="O20" s="42"/>
      <c r="P20" s="42"/>
    </row>
    <row r="21" spans="1:17">
      <c r="A21" s="42" t="s">
        <v>13</v>
      </c>
      <c r="B21" s="42" t="s">
        <v>58</v>
      </c>
      <c r="C21" s="42"/>
      <c r="D21" s="42"/>
      <c r="E21" s="42"/>
      <c r="F21" s="42"/>
      <c r="G21" s="42"/>
      <c r="H21" s="42"/>
      <c r="I21" s="42"/>
      <c r="J21" s="42"/>
      <c r="K21" s="42"/>
      <c r="L21" s="42"/>
      <c r="M21" s="42"/>
      <c r="N21" s="42"/>
      <c r="O21" s="42"/>
      <c r="P21" s="42"/>
    </row>
    <row r="22" spans="1:17">
      <c r="A22" s="42" t="s">
        <v>15</v>
      </c>
      <c r="B22" s="42">
        <v>1</v>
      </c>
      <c r="C22" s="42"/>
      <c r="D22" s="42"/>
      <c r="E22" s="42"/>
      <c r="F22" s="42"/>
      <c r="G22" s="42"/>
      <c r="H22" s="42"/>
      <c r="I22" s="42"/>
      <c r="J22" s="42"/>
      <c r="K22" s="42"/>
      <c r="L22" s="42"/>
      <c r="M22" s="42"/>
      <c r="N22" s="42"/>
      <c r="O22" s="42"/>
      <c r="P22" s="42"/>
    </row>
    <row r="23" spans="1:17">
      <c r="A23" s="42" t="s">
        <v>16</v>
      </c>
      <c r="B23" s="42" t="s">
        <v>17</v>
      </c>
      <c r="C23" s="42"/>
      <c r="D23" s="42"/>
      <c r="E23" s="42"/>
      <c r="F23" s="42"/>
      <c r="G23" s="42"/>
      <c r="H23" s="42"/>
      <c r="I23" s="42"/>
      <c r="J23" s="42"/>
      <c r="K23" s="42"/>
      <c r="L23" s="42"/>
      <c r="M23" s="42"/>
      <c r="N23" s="42"/>
      <c r="O23" s="42"/>
      <c r="P23" s="42"/>
    </row>
    <row r="24" spans="1:17" ht="15.75">
      <c r="A24" s="42" t="s">
        <v>18</v>
      </c>
      <c r="B24" s="44" t="s">
        <v>37</v>
      </c>
      <c r="C24" s="42"/>
      <c r="D24" s="42"/>
      <c r="E24" s="42" t="s">
        <v>197</v>
      </c>
      <c r="F24" s="42"/>
      <c r="G24" s="42"/>
      <c r="H24" s="42"/>
      <c r="I24" s="42"/>
      <c r="J24" s="42"/>
      <c r="K24" s="42"/>
      <c r="L24" s="42"/>
      <c r="M24" s="42"/>
      <c r="N24" s="42"/>
      <c r="O24" s="42"/>
      <c r="P24" s="42"/>
    </row>
    <row r="25" spans="1:17" ht="15.75">
      <c r="A25" s="45" t="s">
        <v>19</v>
      </c>
      <c r="B25" s="42"/>
      <c r="C25" s="42"/>
      <c r="D25" s="42"/>
      <c r="E25" s="42"/>
      <c r="F25" s="42"/>
      <c r="G25" s="42"/>
      <c r="H25" s="42"/>
      <c r="I25" s="42"/>
      <c r="J25" s="42"/>
      <c r="K25" s="42"/>
      <c r="L25" s="42"/>
      <c r="M25" s="42"/>
      <c r="N25" s="42"/>
      <c r="O25" s="42"/>
      <c r="P25" s="42"/>
    </row>
    <row r="26" spans="1:17" ht="15.75">
      <c r="A26" s="45" t="s">
        <v>20</v>
      </c>
      <c r="B26" s="45" t="s">
        <v>21</v>
      </c>
      <c r="C26" s="45" t="s">
        <v>198</v>
      </c>
      <c r="D26" s="45" t="s">
        <v>18</v>
      </c>
      <c r="E26" s="45" t="s">
        <v>22</v>
      </c>
      <c r="F26" s="45" t="s">
        <v>7</v>
      </c>
      <c r="G26" s="45" t="s">
        <v>13</v>
      </c>
      <c r="H26" s="45" t="s">
        <v>16</v>
      </c>
      <c r="I26" s="45" t="s">
        <v>23</v>
      </c>
      <c r="J26" s="45" t="s">
        <v>24</v>
      </c>
      <c r="K26" s="45" t="s">
        <v>25</v>
      </c>
      <c r="L26" s="45" t="s">
        <v>26</v>
      </c>
      <c r="M26" s="45" t="s">
        <v>27</v>
      </c>
      <c r="N26" s="45" t="s">
        <v>28</v>
      </c>
      <c r="O26" s="45" t="s">
        <v>11</v>
      </c>
      <c r="P26" s="45" t="s">
        <v>199</v>
      </c>
    </row>
    <row r="27" spans="1:17" ht="15.75">
      <c r="A27" s="44" t="str">
        <f>B17</f>
        <v>treatment of CFRP,powerplant, PEMFC-bat, Medium-Term</v>
      </c>
      <c r="B27" s="44">
        <v>1</v>
      </c>
      <c r="C27" s="44"/>
      <c r="D27" s="44" t="s">
        <v>37</v>
      </c>
      <c r="E27" s="42" t="s">
        <v>2</v>
      </c>
      <c r="F27" s="42" t="s">
        <v>1349</v>
      </c>
      <c r="G27" s="44" t="s">
        <v>58</v>
      </c>
      <c r="H27" s="42" t="s">
        <v>30</v>
      </c>
      <c r="I27" s="42">
        <v>0</v>
      </c>
      <c r="J27" s="44" t="s">
        <v>31</v>
      </c>
      <c r="K27" s="44" t="s">
        <v>31</v>
      </c>
      <c r="L27" s="44" t="s">
        <v>31</v>
      </c>
      <c r="M27" s="44" t="s">
        <v>31</v>
      </c>
      <c r="N27" s="44" t="s">
        <v>31</v>
      </c>
      <c r="O27" s="42" t="s">
        <v>1351</v>
      </c>
    </row>
    <row r="28" spans="1:17" ht="15.75">
      <c r="A28" s="47" t="s">
        <v>567</v>
      </c>
      <c r="B28">
        <v>-0.5</v>
      </c>
      <c r="D28" t="s">
        <v>37</v>
      </c>
      <c r="E28" s="46" t="s">
        <v>40</v>
      </c>
      <c r="F28" s="42" t="s">
        <v>1349</v>
      </c>
      <c r="G28" t="s">
        <v>128</v>
      </c>
      <c r="H28" t="s">
        <v>33</v>
      </c>
      <c r="I28" s="42">
        <v>0</v>
      </c>
      <c r="J28" s="44" t="s">
        <v>31</v>
      </c>
      <c r="K28" s="44" t="s">
        <v>31</v>
      </c>
      <c r="L28" s="44" t="s">
        <v>31</v>
      </c>
      <c r="M28" s="44" t="s">
        <v>31</v>
      </c>
      <c r="N28" s="44" t="s">
        <v>31</v>
      </c>
      <c r="O28" s="42" t="s">
        <v>1307</v>
      </c>
      <c r="P28" s="44" t="s">
        <v>1308</v>
      </c>
      <c r="Q28" s="44" t="s">
        <v>1359</v>
      </c>
    </row>
    <row r="29" spans="1:17" ht="15.75">
      <c r="A29" t="s">
        <v>38</v>
      </c>
      <c r="B29">
        <f>B30*0.277777777</f>
        <v>2.415277771015</v>
      </c>
      <c r="D29" t="s">
        <v>39</v>
      </c>
      <c r="E29" s="46" t="s">
        <v>40</v>
      </c>
      <c r="F29" s="42" t="s">
        <v>1349</v>
      </c>
      <c r="G29" t="s">
        <v>58</v>
      </c>
      <c r="H29" s="42" t="s">
        <v>243</v>
      </c>
      <c r="I29" s="42">
        <v>0</v>
      </c>
      <c r="J29" s="44" t="s">
        <v>31</v>
      </c>
      <c r="K29" s="44" t="s">
        <v>31</v>
      </c>
      <c r="L29" s="44" t="s">
        <v>31</v>
      </c>
      <c r="M29" s="44" t="s">
        <v>31</v>
      </c>
      <c r="N29" s="44" t="s">
        <v>31</v>
      </c>
      <c r="O29" t="s">
        <v>1360</v>
      </c>
    </row>
    <row r="30" spans="1:17" ht="15.75">
      <c r="A30" t="s">
        <v>220</v>
      </c>
      <c r="B30">
        <f>-B28*0.5*34.78</f>
        <v>8.6950000000000003</v>
      </c>
      <c r="D30" t="s">
        <v>170</v>
      </c>
      <c r="E30" s="46" t="s">
        <v>40</v>
      </c>
      <c r="F30" s="42" t="s">
        <v>1349</v>
      </c>
      <c r="G30" t="s">
        <v>58</v>
      </c>
      <c r="H30" s="42" t="s">
        <v>243</v>
      </c>
      <c r="I30" s="42">
        <v>0</v>
      </c>
      <c r="J30" s="44" t="s">
        <v>31</v>
      </c>
      <c r="K30" s="44" t="s">
        <v>31</v>
      </c>
      <c r="L30" s="44" t="s">
        <v>31</v>
      </c>
      <c r="M30" s="44" t="s">
        <v>31</v>
      </c>
      <c r="N30" s="44" t="s">
        <v>31</v>
      </c>
      <c r="O30" t="s">
        <v>1361</v>
      </c>
    </row>
    <row r="31" spans="1:17" ht="15.75">
      <c r="A31" s="47" t="s">
        <v>1362</v>
      </c>
      <c r="B31">
        <f>B28</f>
        <v>-0.5</v>
      </c>
      <c r="D31" t="s">
        <v>37</v>
      </c>
      <c r="E31" s="46" t="s">
        <v>40</v>
      </c>
      <c r="F31" s="42" t="s">
        <v>1349</v>
      </c>
      <c r="G31" t="s">
        <v>128</v>
      </c>
      <c r="H31" s="42" t="s">
        <v>33</v>
      </c>
      <c r="I31" s="42">
        <v>0</v>
      </c>
      <c r="J31" s="44" t="s">
        <v>31</v>
      </c>
      <c r="K31" s="44" t="s">
        <v>31</v>
      </c>
      <c r="L31" s="44" t="s">
        <v>31</v>
      </c>
      <c r="M31" s="44" t="s">
        <v>31</v>
      </c>
      <c r="N31" s="44" t="s">
        <v>31</v>
      </c>
      <c r="O31" s="44" t="s">
        <v>1363</v>
      </c>
    </row>
    <row r="32" spans="1:17" s="41" customFormat="1" ht="15.75">
      <c r="A32" s="38" t="s">
        <v>5</v>
      </c>
      <c r="B32" s="38" t="s">
        <v>1364</v>
      </c>
      <c r="C32" s="38"/>
      <c r="D32" s="39"/>
      <c r="E32" s="40"/>
      <c r="F32" s="40"/>
      <c r="G32" s="40"/>
      <c r="H32" s="40"/>
      <c r="I32" s="40"/>
      <c r="J32" s="40"/>
      <c r="K32" s="40"/>
      <c r="L32" s="40"/>
      <c r="M32" s="40"/>
      <c r="N32" s="40"/>
      <c r="O32" s="40"/>
      <c r="P32" s="40"/>
    </row>
    <row r="33" spans="1:16">
      <c r="A33" s="42" t="s">
        <v>7</v>
      </c>
      <c r="B33" s="42" t="s">
        <v>1349</v>
      </c>
      <c r="C33" s="42"/>
      <c r="D33" s="42"/>
      <c r="E33" s="42"/>
      <c r="F33" s="42"/>
      <c r="G33" s="42"/>
      <c r="H33" s="42"/>
      <c r="I33" s="42"/>
      <c r="J33" s="42"/>
      <c r="K33" s="42"/>
      <c r="L33" s="42"/>
      <c r="M33" s="42"/>
      <c r="N33" s="42"/>
      <c r="O33" s="42"/>
      <c r="P33" s="42"/>
    </row>
    <row r="34" spans="1:16">
      <c r="A34" s="42" t="s">
        <v>9</v>
      </c>
      <c r="B34" s="43" t="s">
        <v>1365</v>
      </c>
      <c r="C34" s="42"/>
      <c r="D34" s="42"/>
      <c r="E34" s="42"/>
      <c r="F34" s="42"/>
      <c r="G34" s="42"/>
      <c r="H34" s="42"/>
      <c r="I34" s="42"/>
      <c r="J34" s="42"/>
      <c r="K34" s="42"/>
      <c r="L34" s="42"/>
      <c r="M34" s="42"/>
      <c r="N34" s="42"/>
      <c r="O34" s="42"/>
      <c r="P34" s="42"/>
    </row>
    <row r="35" spans="1:16">
      <c r="A35" s="42" t="s">
        <v>11</v>
      </c>
      <c r="B35" s="42" t="s">
        <v>203</v>
      </c>
      <c r="C35" s="42"/>
      <c r="D35" s="42"/>
      <c r="E35" s="42"/>
      <c r="F35" s="42"/>
      <c r="G35" s="42"/>
      <c r="H35" s="42"/>
      <c r="I35" s="42"/>
      <c r="J35" s="42"/>
      <c r="K35" s="42"/>
      <c r="L35" s="42"/>
      <c r="M35" s="42"/>
      <c r="N35" s="42"/>
      <c r="O35" s="42"/>
      <c r="P35" s="42"/>
    </row>
    <row r="36" spans="1:16">
      <c r="A36" s="42" t="s">
        <v>13</v>
      </c>
      <c r="B36" s="42" t="s">
        <v>58</v>
      </c>
      <c r="C36" s="42"/>
      <c r="D36" s="42"/>
      <c r="E36" s="42"/>
      <c r="F36" s="42"/>
      <c r="G36" s="42"/>
      <c r="H36" s="42"/>
      <c r="I36" s="42"/>
      <c r="J36" s="42"/>
      <c r="K36" s="42"/>
      <c r="L36" s="42"/>
      <c r="M36" s="42"/>
      <c r="N36" s="42"/>
      <c r="O36" s="42"/>
      <c r="P36" s="42"/>
    </row>
    <row r="37" spans="1:16">
      <c r="A37" s="42" t="s">
        <v>15</v>
      </c>
      <c r="B37" s="42">
        <v>1</v>
      </c>
      <c r="C37" s="42"/>
      <c r="D37" s="42"/>
      <c r="E37" s="42"/>
      <c r="F37" s="42"/>
      <c r="G37" s="42"/>
      <c r="H37" s="42"/>
      <c r="I37" s="42"/>
      <c r="J37" s="42"/>
      <c r="K37" s="42"/>
      <c r="L37" s="42"/>
      <c r="M37" s="42"/>
      <c r="N37" s="42"/>
      <c r="O37" s="42"/>
      <c r="P37" s="42"/>
    </row>
    <row r="38" spans="1:16">
      <c r="A38" s="42" t="s">
        <v>16</v>
      </c>
      <c r="B38" s="42" t="s">
        <v>17</v>
      </c>
      <c r="C38" s="42"/>
      <c r="D38" s="42"/>
      <c r="E38" s="42"/>
      <c r="F38" s="42"/>
      <c r="G38" s="42"/>
      <c r="H38" s="42"/>
      <c r="I38" s="42"/>
      <c r="J38" s="42"/>
      <c r="K38" s="42"/>
      <c r="L38" s="42"/>
      <c r="M38" s="42"/>
      <c r="N38" s="42"/>
      <c r="O38" s="42"/>
      <c r="P38" s="42"/>
    </row>
    <row r="39" spans="1:16" ht="15.75">
      <c r="A39" s="42" t="s">
        <v>18</v>
      </c>
      <c r="B39" s="44" t="s">
        <v>37</v>
      </c>
      <c r="C39" s="42"/>
      <c r="D39" s="42"/>
      <c r="E39" s="42" t="s">
        <v>197</v>
      </c>
      <c r="F39" s="42"/>
      <c r="G39" s="42"/>
      <c r="H39" s="42"/>
      <c r="I39" s="42"/>
      <c r="J39" s="42"/>
      <c r="K39" s="42"/>
      <c r="L39" s="42"/>
      <c r="M39" s="42"/>
      <c r="N39" s="42"/>
      <c r="O39" s="42"/>
      <c r="P39" s="42"/>
    </row>
    <row r="40" spans="1:16" ht="15.75">
      <c r="A40" s="45" t="s">
        <v>19</v>
      </c>
      <c r="B40" s="42"/>
      <c r="C40" s="42"/>
      <c r="D40" s="42"/>
      <c r="E40" s="42"/>
      <c r="F40" s="42"/>
      <c r="G40" s="42"/>
      <c r="H40" s="42"/>
      <c r="I40" s="42"/>
      <c r="J40" s="42"/>
      <c r="K40" s="42"/>
      <c r="L40" s="42"/>
      <c r="M40" s="42"/>
      <c r="N40" s="42"/>
      <c r="O40" s="42"/>
      <c r="P40" s="42"/>
    </row>
    <row r="41" spans="1:16" ht="15.75">
      <c r="A41" s="45" t="s">
        <v>20</v>
      </c>
      <c r="B41" s="45" t="s">
        <v>21</v>
      </c>
      <c r="C41" s="45" t="s">
        <v>198</v>
      </c>
      <c r="D41" s="45" t="s">
        <v>18</v>
      </c>
      <c r="E41" s="45" t="s">
        <v>22</v>
      </c>
      <c r="F41" s="45" t="s">
        <v>7</v>
      </c>
      <c r="G41" s="45" t="s">
        <v>13</v>
      </c>
      <c r="H41" s="45" t="s">
        <v>16</v>
      </c>
      <c r="I41" s="45" t="s">
        <v>23</v>
      </c>
      <c r="J41" s="45" t="s">
        <v>24</v>
      </c>
      <c r="K41" s="45" t="s">
        <v>25</v>
      </c>
      <c r="L41" s="45" t="s">
        <v>26</v>
      </c>
      <c r="M41" s="45" t="s">
        <v>27</v>
      </c>
      <c r="N41" s="45" t="s">
        <v>28</v>
      </c>
      <c r="O41" s="45" t="s">
        <v>11</v>
      </c>
      <c r="P41" s="45" t="s">
        <v>199</v>
      </c>
    </row>
    <row r="42" spans="1:16" ht="15.75">
      <c r="A42" s="44" t="str">
        <f>B32</f>
        <v>treatment of aluminium,powerplant, PEMFC-bat, Medium-Term</v>
      </c>
      <c r="B42" s="44">
        <v>1</v>
      </c>
      <c r="C42" s="44"/>
      <c r="D42" s="44" t="s">
        <v>37</v>
      </c>
      <c r="E42" s="42" t="s">
        <v>2</v>
      </c>
      <c r="F42" s="42" t="s">
        <v>1349</v>
      </c>
      <c r="G42" s="44" t="s">
        <v>58</v>
      </c>
      <c r="H42" s="42" t="s">
        <v>30</v>
      </c>
      <c r="I42" s="42">
        <v>0</v>
      </c>
      <c r="J42" s="44" t="s">
        <v>31</v>
      </c>
      <c r="K42" s="44" t="s">
        <v>31</v>
      </c>
      <c r="L42" s="44" t="s">
        <v>31</v>
      </c>
      <c r="M42" s="44" t="s">
        <v>31</v>
      </c>
      <c r="N42" s="44" t="s">
        <v>31</v>
      </c>
      <c r="O42" s="42" t="s">
        <v>1366</v>
      </c>
    </row>
    <row r="43" spans="1:16" ht="15.75">
      <c r="A43" t="s">
        <v>245</v>
      </c>
      <c r="B43" s="23">
        <v>0.75</v>
      </c>
      <c r="C43" s="44"/>
      <c r="D43" s="44" t="s">
        <v>37</v>
      </c>
      <c r="E43" s="32" t="s">
        <v>40</v>
      </c>
      <c r="F43" s="42" t="s">
        <v>1349</v>
      </c>
      <c r="G43" s="44" t="s">
        <v>128</v>
      </c>
      <c r="H43" s="42" t="s">
        <v>33</v>
      </c>
      <c r="I43" s="42">
        <v>0</v>
      </c>
      <c r="J43" s="44" t="s">
        <v>31</v>
      </c>
      <c r="K43" s="44" t="s">
        <v>31</v>
      </c>
      <c r="L43" s="44" t="s">
        <v>31</v>
      </c>
      <c r="M43" s="44" t="s">
        <v>31</v>
      </c>
      <c r="N43" s="44" t="s">
        <v>31</v>
      </c>
      <c r="O43" s="42" t="s">
        <v>1330</v>
      </c>
      <c r="P43" s="42"/>
    </row>
    <row r="44" spans="1:16" ht="15.75">
      <c r="A44" t="s">
        <v>247</v>
      </c>
      <c r="B44" s="23">
        <v>0.75</v>
      </c>
      <c r="C44" s="22" t="s">
        <v>248</v>
      </c>
      <c r="D44" t="s">
        <v>37</v>
      </c>
      <c r="E44" s="46" t="s">
        <v>40</v>
      </c>
      <c r="F44" s="42" t="s">
        <v>1349</v>
      </c>
      <c r="G44" s="44" t="s">
        <v>128</v>
      </c>
      <c r="H44" s="42" t="s">
        <v>33</v>
      </c>
      <c r="I44" s="42">
        <v>0</v>
      </c>
      <c r="J44" s="44" t="s">
        <v>31</v>
      </c>
      <c r="K44" s="44" t="s">
        <v>31</v>
      </c>
      <c r="L44" s="44" t="s">
        <v>31</v>
      </c>
      <c r="M44" s="44" t="s">
        <v>31</v>
      </c>
      <c r="N44" s="44" t="s">
        <v>31</v>
      </c>
      <c r="O44" s="44" t="s">
        <v>1367</v>
      </c>
    </row>
    <row r="45" spans="1:16" ht="15.75">
      <c r="A45" t="s">
        <v>329</v>
      </c>
      <c r="B45" s="23">
        <v>0.75</v>
      </c>
      <c r="D45" t="s">
        <v>37</v>
      </c>
      <c r="E45" s="46" t="s">
        <v>40</v>
      </c>
      <c r="F45" s="42" t="s">
        <v>1349</v>
      </c>
      <c r="G45" t="s">
        <v>58</v>
      </c>
      <c r="H45" s="42" t="s">
        <v>243</v>
      </c>
      <c r="I45" s="42">
        <v>0</v>
      </c>
      <c r="J45" s="44" t="s">
        <v>31</v>
      </c>
      <c r="K45" s="44" t="s">
        <v>31</v>
      </c>
      <c r="L45" s="44" t="s">
        <v>31</v>
      </c>
      <c r="M45" s="44" t="s">
        <v>31</v>
      </c>
      <c r="N45" s="44" t="s">
        <v>31</v>
      </c>
      <c r="O45" s="42"/>
    </row>
    <row r="46" spans="1:16" ht="15.75">
      <c r="A46" t="s">
        <v>380</v>
      </c>
      <c r="B46" s="23">
        <f>-0.25</f>
        <v>-0.25</v>
      </c>
      <c r="D46" t="s">
        <v>37</v>
      </c>
      <c r="E46" s="47" t="s">
        <v>40</v>
      </c>
      <c r="F46" s="42" t="s">
        <v>1349</v>
      </c>
      <c r="G46" t="s">
        <v>58</v>
      </c>
      <c r="H46" t="s">
        <v>33</v>
      </c>
      <c r="I46">
        <v>0</v>
      </c>
      <c r="J46" t="s">
        <v>31</v>
      </c>
      <c r="K46" t="s">
        <v>31</v>
      </c>
      <c r="L46" t="s">
        <v>31</v>
      </c>
      <c r="M46" t="s">
        <v>31</v>
      </c>
      <c r="N46" t="s">
        <v>31</v>
      </c>
      <c r="O46" s="17"/>
      <c r="P46" s="42"/>
    </row>
    <row r="47" spans="1:16" s="41" customFormat="1" ht="15.75">
      <c r="A47" s="38" t="s">
        <v>5</v>
      </c>
      <c r="B47" s="38" t="s">
        <v>1368</v>
      </c>
      <c r="C47" s="38"/>
      <c r="D47" s="39"/>
      <c r="E47" s="40"/>
      <c r="F47" s="40"/>
      <c r="G47" s="40"/>
      <c r="H47" s="40"/>
      <c r="I47" s="40"/>
      <c r="J47" s="40"/>
      <c r="K47" s="40"/>
      <c r="L47" s="40"/>
      <c r="M47" s="40"/>
      <c r="N47" s="40"/>
      <c r="O47" s="40"/>
      <c r="P47" s="40"/>
    </row>
    <row r="48" spans="1:16">
      <c r="A48" s="42" t="s">
        <v>7</v>
      </c>
      <c r="B48" s="42" t="s">
        <v>1349</v>
      </c>
      <c r="C48" s="42"/>
      <c r="D48" s="42"/>
      <c r="E48" s="42"/>
      <c r="F48" s="42"/>
      <c r="G48" s="42"/>
      <c r="H48" s="42"/>
      <c r="I48" s="42"/>
      <c r="J48" s="42"/>
      <c r="K48" s="42"/>
      <c r="L48" s="42"/>
      <c r="M48" s="42"/>
      <c r="N48" s="42"/>
      <c r="O48" s="42"/>
      <c r="P48" s="42"/>
    </row>
    <row r="49" spans="1:17">
      <c r="A49" s="42" t="s">
        <v>9</v>
      </c>
      <c r="B49" s="43" t="s">
        <v>1369</v>
      </c>
      <c r="C49" s="42"/>
      <c r="D49" s="42"/>
      <c r="E49" s="42"/>
      <c r="F49" s="42"/>
      <c r="G49" s="42"/>
      <c r="H49" s="42"/>
      <c r="I49" s="42"/>
      <c r="J49" s="42"/>
      <c r="K49" s="42"/>
      <c r="L49" s="42"/>
      <c r="M49" s="42"/>
      <c r="N49" s="42"/>
      <c r="O49" s="42"/>
      <c r="P49" s="42"/>
    </row>
    <row r="50" spans="1:17">
      <c r="A50" s="42" t="s">
        <v>11</v>
      </c>
      <c r="B50" s="42" t="s">
        <v>203</v>
      </c>
      <c r="C50" s="42"/>
      <c r="D50" s="42"/>
      <c r="E50" s="42"/>
      <c r="F50" s="42"/>
      <c r="G50" s="42"/>
      <c r="H50" s="42"/>
      <c r="I50" s="42"/>
      <c r="J50" s="42"/>
      <c r="K50" s="42"/>
      <c r="L50" s="42"/>
      <c r="M50" s="42"/>
      <c r="N50" s="42"/>
      <c r="O50" s="42"/>
      <c r="P50" s="42"/>
    </row>
    <row r="51" spans="1:17">
      <c r="A51" s="42" t="s">
        <v>13</v>
      </c>
      <c r="B51" s="42" t="s">
        <v>58</v>
      </c>
      <c r="C51" s="42"/>
      <c r="D51" s="42"/>
      <c r="E51" s="42"/>
      <c r="F51" s="42"/>
      <c r="G51" s="42"/>
      <c r="H51" s="42"/>
      <c r="I51" s="42"/>
      <c r="J51" s="42"/>
      <c r="K51" s="42"/>
      <c r="L51" s="42"/>
      <c r="M51" s="42"/>
      <c r="N51" s="42"/>
      <c r="O51" s="42"/>
      <c r="P51" s="42"/>
    </row>
    <row r="52" spans="1:17">
      <c r="A52" s="42" t="s">
        <v>15</v>
      </c>
      <c r="B52" s="42">
        <v>1</v>
      </c>
      <c r="C52" s="42"/>
      <c r="D52" s="42"/>
      <c r="E52" s="42"/>
      <c r="F52" s="42"/>
      <c r="G52" s="42"/>
      <c r="H52" s="42"/>
      <c r="I52" s="42"/>
      <c r="J52" s="42"/>
      <c r="K52" s="42"/>
      <c r="L52" s="42"/>
      <c r="M52" s="42"/>
      <c r="N52" s="42"/>
      <c r="O52" s="42"/>
      <c r="P52" s="42"/>
    </row>
    <row r="53" spans="1:17">
      <c r="A53" s="42" t="s">
        <v>16</v>
      </c>
      <c r="B53" s="42" t="s">
        <v>17</v>
      </c>
      <c r="C53" s="42"/>
      <c r="D53" s="42"/>
      <c r="E53" s="42"/>
      <c r="F53" s="42"/>
      <c r="G53" s="42"/>
      <c r="H53" s="42"/>
      <c r="I53" s="42"/>
      <c r="J53" s="42"/>
      <c r="K53" s="42"/>
      <c r="L53" s="42"/>
      <c r="M53" s="42"/>
      <c r="N53" s="42"/>
      <c r="O53" s="42"/>
      <c r="P53" s="42"/>
    </row>
    <row r="54" spans="1:17" ht="15.75">
      <c r="A54" s="42" t="s">
        <v>18</v>
      </c>
      <c r="B54" s="44" t="s">
        <v>37</v>
      </c>
      <c r="C54" s="42"/>
      <c r="D54" s="42"/>
      <c r="E54" s="42" t="s">
        <v>197</v>
      </c>
      <c r="F54" s="42"/>
      <c r="G54" s="42"/>
      <c r="H54" s="42"/>
      <c r="I54" s="42"/>
      <c r="J54" s="42"/>
      <c r="K54" s="42"/>
      <c r="L54" s="42"/>
      <c r="M54" s="42"/>
      <c r="N54" s="42"/>
      <c r="O54" s="42"/>
      <c r="P54" s="42"/>
    </row>
    <row r="55" spans="1:17" ht="15.75">
      <c r="A55" s="45" t="s">
        <v>19</v>
      </c>
      <c r="B55" s="42"/>
      <c r="C55" s="42"/>
      <c r="D55" s="42"/>
      <c r="E55" s="42"/>
      <c r="F55" s="42"/>
      <c r="G55" s="42"/>
      <c r="H55" s="42"/>
      <c r="I55" s="42"/>
      <c r="J55" s="42"/>
      <c r="K55" s="42"/>
      <c r="L55" s="42"/>
      <c r="M55" s="42"/>
      <c r="N55" s="42"/>
      <c r="O55" s="42"/>
      <c r="P55" s="42"/>
    </row>
    <row r="56" spans="1:17" ht="15.75">
      <c r="A56" s="45" t="s">
        <v>20</v>
      </c>
      <c r="B56" s="45" t="s">
        <v>21</v>
      </c>
      <c r="C56" s="45" t="s">
        <v>198</v>
      </c>
      <c r="D56" s="45" t="s">
        <v>18</v>
      </c>
      <c r="E56" s="45" t="s">
        <v>22</v>
      </c>
      <c r="F56" s="45" t="s">
        <v>7</v>
      </c>
      <c r="G56" s="45" t="s">
        <v>13</v>
      </c>
      <c r="H56" s="45" t="s">
        <v>16</v>
      </c>
      <c r="I56" s="45" t="s">
        <v>23</v>
      </c>
      <c r="J56" s="45" t="s">
        <v>24</v>
      </c>
      <c r="K56" s="45" t="s">
        <v>25</v>
      </c>
      <c r="L56" s="45" t="s">
        <v>26</v>
      </c>
      <c r="M56" s="45" t="s">
        <v>27</v>
      </c>
      <c r="N56" s="45" t="s">
        <v>28</v>
      </c>
      <c r="O56" s="45" t="s">
        <v>11</v>
      </c>
      <c r="P56" s="45" t="s">
        <v>199</v>
      </c>
    </row>
    <row r="57" spans="1:17" ht="15.75">
      <c r="A57" s="44" t="str">
        <f>B47</f>
        <v>treatment of iron-nickel chromium alloy,powerplant, PEMFC-bat, Medium-Term</v>
      </c>
      <c r="B57" s="44">
        <v>1</v>
      </c>
      <c r="C57" s="44"/>
      <c r="D57" s="44" t="s">
        <v>37</v>
      </c>
      <c r="E57" s="42" t="s">
        <v>2</v>
      </c>
      <c r="F57" s="42" t="s">
        <v>1349</v>
      </c>
      <c r="G57" s="44" t="s">
        <v>58</v>
      </c>
      <c r="H57" s="42" t="s">
        <v>30</v>
      </c>
      <c r="I57" s="42">
        <v>0</v>
      </c>
      <c r="J57" s="44" t="s">
        <v>31</v>
      </c>
      <c r="K57" s="44" t="s">
        <v>31</v>
      </c>
      <c r="L57" s="44" t="s">
        <v>31</v>
      </c>
      <c r="M57" s="44" t="s">
        <v>31</v>
      </c>
      <c r="N57" s="44" t="s">
        <v>31</v>
      </c>
      <c r="O57" s="42" t="s">
        <v>1366</v>
      </c>
    </row>
    <row r="58" spans="1:17" ht="15.75">
      <c r="A58" t="s">
        <v>424</v>
      </c>
      <c r="B58">
        <v>0.85</v>
      </c>
      <c r="C58" t="s">
        <v>425</v>
      </c>
      <c r="D58" t="s">
        <v>37</v>
      </c>
      <c r="E58" t="s">
        <v>40</v>
      </c>
      <c r="F58" s="42" t="s">
        <v>1349</v>
      </c>
      <c r="G58" t="s">
        <v>128</v>
      </c>
      <c r="H58" t="s">
        <v>33</v>
      </c>
      <c r="I58" s="42">
        <v>0</v>
      </c>
      <c r="J58" s="44" t="s">
        <v>31</v>
      </c>
      <c r="K58" s="44" t="s">
        <v>31</v>
      </c>
      <c r="L58" s="44" t="s">
        <v>31</v>
      </c>
      <c r="M58" s="44" t="s">
        <v>31</v>
      </c>
      <c r="N58" s="44" t="s">
        <v>31</v>
      </c>
      <c r="O58" s="42" t="s">
        <v>1366</v>
      </c>
      <c r="Q58" t="s">
        <v>202</v>
      </c>
    </row>
    <row r="59" spans="1:17" ht="15.75">
      <c r="A59" t="s">
        <v>1370</v>
      </c>
      <c r="B59">
        <v>0.85</v>
      </c>
      <c r="D59" t="s">
        <v>37</v>
      </c>
      <c r="E59" t="s">
        <v>40</v>
      </c>
      <c r="F59" s="42" t="s">
        <v>1349</v>
      </c>
      <c r="G59" t="s">
        <v>58</v>
      </c>
      <c r="H59" t="s">
        <v>243</v>
      </c>
      <c r="I59" s="42">
        <v>0</v>
      </c>
      <c r="J59" s="44" t="s">
        <v>31</v>
      </c>
      <c r="K59" s="44" t="s">
        <v>31</v>
      </c>
      <c r="L59" s="44" t="s">
        <v>31</v>
      </c>
      <c r="M59" s="44" t="s">
        <v>31</v>
      </c>
      <c r="N59" s="44" t="s">
        <v>31</v>
      </c>
      <c r="O59" s="42" t="s">
        <v>1366</v>
      </c>
      <c r="Q59" t="s">
        <v>202</v>
      </c>
    </row>
    <row r="60" spans="1:17">
      <c r="A60" t="s">
        <v>380</v>
      </c>
      <c r="B60" s="23">
        <f>-0.25</f>
        <v>-0.25</v>
      </c>
      <c r="D60" t="s">
        <v>37</v>
      </c>
      <c r="E60" s="47" t="s">
        <v>40</v>
      </c>
      <c r="F60" s="42" t="s">
        <v>1349</v>
      </c>
      <c r="G60" t="s">
        <v>58</v>
      </c>
      <c r="H60" t="s">
        <v>33</v>
      </c>
      <c r="I60">
        <v>0</v>
      </c>
      <c r="J60" t="s">
        <v>31</v>
      </c>
      <c r="K60" t="s">
        <v>31</v>
      </c>
      <c r="L60" t="s">
        <v>31</v>
      </c>
      <c r="M60" t="s">
        <v>31</v>
      </c>
      <c r="N60" t="s">
        <v>31</v>
      </c>
      <c r="O60" s="42" t="s">
        <v>1366</v>
      </c>
    </row>
    <row r="61" spans="1:17" s="41" customFormat="1" ht="15.75">
      <c r="A61" s="38" t="s">
        <v>5</v>
      </c>
      <c r="B61" s="38" t="s">
        <v>1371</v>
      </c>
      <c r="C61" s="38"/>
      <c r="D61" s="39"/>
      <c r="E61" s="40"/>
      <c r="F61" s="40"/>
      <c r="G61" s="40"/>
      <c r="H61" s="40"/>
      <c r="I61" s="40"/>
      <c r="J61" s="40"/>
      <c r="K61" s="40"/>
      <c r="L61" s="40"/>
      <c r="M61" s="40"/>
      <c r="N61" s="40"/>
      <c r="O61" s="40"/>
      <c r="P61" s="40"/>
    </row>
    <row r="62" spans="1:17">
      <c r="A62" s="42" t="s">
        <v>7</v>
      </c>
      <c r="B62" s="42" t="s">
        <v>1349</v>
      </c>
      <c r="C62" s="42"/>
      <c r="D62" s="42"/>
      <c r="E62" s="42"/>
      <c r="F62" s="42"/>
      <c r="G62" s="42"/>
      <c r="H62" s="42"/>
      <c r="I62" s="42"/>
      <c r="J62" s="42"/>
      <c r="K62" s="42"/>
      <c r="L62" s="42"/>
      <c r="M62" s="42"/>
      <c r="N62" s="42"/>
      <c r="O62" s="42"/>
      <c r="P62" s="42"/>
    </row>
    <row r="63" spans="1:17">
      <c r="A63" s="42" t="s">
        <v>9</v>
      </c>
      <c r="B63" s="43" t="s">
        <v>1372</v>
      </c>
      <c r="C63" s="42"/>
      <c r="D63" s="42"/>
      <c r="E63" s="42"/>
      <c r="F63" s="42"/>
      <c r="G63" s="42"/>
      <c r="H63" s="42"/>
      <c r="I63" s="42"/>
      <c r="J63" s="42"/>
      <c r="K63" s="42"/>
      <c r="L63" s="42"/>
      <c r="M63" s="42"/>
      <c r="N63" s="42"/>
      <c r="O63" s="42"/>
      <c r="P63" s="42"/>
    </row>
    <row r="64" spans="1:17">
      <c r="A64" s="42" t="s">
        <v>11</v>
      </c>
      <c r="B64" s="42" t="s">
        <v>203</v>
      </c>
      <c r="C64" s="42"/>
      <c r="D64" s="42"/>
      <c r="E64" s="42"/>
      <c r="F64" s="42"/>
      <c r="G64" s="42"/>
      <c r="H64" s="42"/>
      <c r="I64" s="42"/>
      <c r="J64" s="42"/>
      <c r="K64" s="42"/>
      <c r="L64" s="42"/>
      <c r="M64" s="42"/>
      <c r="N64" s="42"/>
      <c r="O64" s="42"/>
      <c r="P64" s="42"/>
    </row>
    <row r="65" spans="1:17">
      <c r="A65" s="42" t="s">
        <v>13</v>
      </c>
      <c r="B65" s="42" t="s">
        <v>58</v>
      </c>
      <c r="C65" s="42"/>
      <c r="D65" s="42"/>
      <c r="E65" s="42"/>
      <c r="F65" s="42"/>
      <c r="G65" s="42"/>
      <c r="H65" s="42"/>
      <c r="I65" s="42"/>
      <c r="J65" s="42"/>
      <c r="K65" s="42"/>
      <c r="L65" s="42"/>
      <c r="M65" s="42"/>
      <c r="N65" s="42"/>
      <c r="O65" s="42"/>
      <c r="P65" s="42"/>
    </row>
    <row r="66" spans="1:17">
      <c r="A66" s="42" t="s">
        <v>15</v>
      </c>
      <c r="B66" s="42">
        <v>1</v>
      </c>
      <c r="C66" s="42"/>
      <c r="D66" s="42"/>
      <c r="E66" s="42"/>
      <c r="F66" s="42"/>
      <c r="G66" s="42"/>
      <c r="H66" s="42"/>
      <c r="I66" s="42"/>
      <c r="J66" s="42"/>
      <c r="K66" s="42"/>
      <c r="L66" s="42"/>
      <c r="M66" s="42"/>
      <c r="N66" s="42"/>
      <c r="O66" s="42"/>
      <c r="P66" s="42"/>
    </row>
    <row r="67" spans="1:17">
      <c r="A67" s="42" t="s">
        <v>16</v>
      </c>
      <c r="B67" s="42" t="s">
        <v>17</v>
      </c>
      <c r="C67" s="42"/>
      <c r="D67" s="42"/>
      <c r="E67" s="42"/>
      <c r="F67" s="42"/>
      <c r="G67" s="42"/>
      <c r="H67" s="42"/>
      <c r="I67" s="42"/>
      <c r="J67" s="42"/>
      <c r="K67" s="42"/>
      <c r="L67" s="42"/>
      <c r="M67" s="42"/>
      <c r="N67" s="42"/>
      <c r="O67" s="42"/>
      <c r="P67" s="42"/>
    </row>
    <row r="68" spans="1:17" ht="15.75">
      <c r="A68" s="42" t="s">
        <v>18</v>
      </c>
      <c r="B68" s="44" t="s">
        <v>37</v>
      </c>
      <c r="C68" s="42"/>
      <c r="D68" s="42"/>
      <c r="E68" s="42" t="s">
        <v>197</v>
      </c>
      <c r="F68" s="42"/>
      <c r="G68" s="42"/>
      <c r="H68" s="42"/>
      <c r="I68" s="42"/>
      <c r="J68" s="42"/>
      <c r="K68" s="42"/>
      <c r="L68" s="42"/>
      <c r="M68" s="42"/>
      <c r="N68" s="42"/>
      <c r="O68" s="42"/>
      <c r="P68" s="42"/>
    </row>
    <row r="69" spans="1:17" ht="15.75">
      <c r="A69" s="45" t="s">
        <v>19</v>
      </c>
      <c r="B69" s="42"/>
      <c r="C69" s="42"/>
      <c r="D69" s="42"/>
      <c r="E69" s="42"/>
      <c r="F69" s="42"/>
      <c r="G69" s="42"/>
      <c r="H69" s="42"/>
      <c r="I69" s="42"/>
      <c r="J69" s="42"/>
      <c r="K69" s="42"/>
      <c r="L69" s="42"/>
      <c r="M69" s="42"/>
      <c r="N69" s="42"/>
      <c r="O69" s="42"/>
      <c r="P69" s="42"/>
    </row>
    <row r="70" spans="1:17" ht="15.75">
      <c r="A70" s="45" t="s">
        <v>20</v>
      </c>
      <c r="B70" s="45" t="s">
        <v>21</v>
      </c>
      <c r="C70" s="45" t="s">
        <v>198</v>
      </c>
      <c r="D70" s="45" t="s">
        <v>18</v>
      </c>
      <c r="E70" s="45" t="s">
        <v>22</v>
      </c>
      <c r="F70" s="45" t="s">
        <v>7</v>
      </c>
      <c r="G70" s="45" t="s">
        <v>13</v>
      </c>
      <c r="H70" s="45" t="s">
        <v>16</v>
      </c>
      <c r="I70" s="45" t="s">
        <v>23</v>
      </c>
      <c r="J70" s="45" t="s">
        <v>24</v>
      </c>
      <c r="K70" s="45" t="s">
        <v>25</v>
      </c>
      <c r="L70" s="45" t="s">
        <v>26</v>
      </c>
      <c r="M70" s="45" t="s">
        <v>27</v>
      </c>
      <c r="N70" s="45" t="s">
        <v>28</v>
      </c>
      <c r="O70" s="45" t="s">
        <v>11</v>
      </c>
      <c r="P70" s="45" t="s">
        <v>199</v>
      </c>
    </row>
    <row r="71" spans="1:17" ht="15.75">
      <c r="A71" s="44" t="str">
        <f>B61</f>
        <v>treatment of nickel,powerplant, PEMFC-bat, Medium-Term</v>
      </c>
      <c r="B71" s="44">
        <v>1</v>
      </c>
      <c r="C71" s="44"/>
      <c r="D71" s="44" t="s">
        <v>37</v>
      </c>
      <c r="E71" s="42" t="s">
        <v>2</v>
      </c>
      <c r="F71" s="42" t="s">
        <v>1349</v>
      </c>
      <c r="G71" s="44" t="s">
        <v>58</v>
      </c>
      <c r="H71" s="42" t="s">
        <v>30</v>
      </c>
      <c r="I71" s="42">
        <v>0</v>
      </c>
      <c r="J71" s="44" t="s">
        <v>31</v>
      </c>
      <c r="K71" s="44" t="s">
        <v>31</v>
      </c>
      <c r="L71" s="44" t="s">
        <v>31</v>
      </c>
      <c r="M71" s="44" t="s">
        <v>31</v>
      </c>
      <c r="N71" s="44" t="s">
        <v>31</v>
      </c>
      <c r="O71" s="42" t="s">
        <v>1366</v>
      </c>
    </row>
    <row r="72" spans="1:17" ht="15.75">
      <c r="A72" t="s">
        <v>424</v>
      </c>
      <c r="B72">
        <v>0.85</v>
      </c>
      <c r="C72" t="s">
        <v>425</v>
      </c>
      <c r="D72" t="s">
        <v>37</v>
      </c>
      <c r="E72" t="s">
        <v>40</v>
      </c>
      <c r="F72" s="42" t="s">
        <v>1349</v>
      </c>
      <c r="G72" t="s">
        <v>128</v>
      </c>
      <c r="H72" t="s">
        <v>33</v>
      </c>
      <c r="I72" s="42">
        <v>0</v>
      </c>
      <c r="J72" s="44" t="s">
        <v>31</v>
      </c>
      <c r="K72" s="44" t="s">
        <v>31</v>
      </c>
      <c r="L72" s="44" t="s">
        <v>31</v>
      </c>
      <c r="M72" s="44" t="s">
        <v>31</v>
      </c>
      <c r="N72" s="44" t="s">
        <v>31</v>
      </c>
      <c r="O72" s="42" t="s">
        <v>1366</v>
      </c>
      <c r="Q72" t="s">
        <v>202</v>
      </c>
    </row>
    <row r="73" spans="1:17" ht="15.75">
      <c r="A73" t="s">
        <v>622</v>
      </c>
      <c r="B73">
        <v>0.85</v>
      </c>
      <c r="D73" t="s">
        <v>37</v>
      </c>
      <c r="E73" t="s">
        <v>40</v>
      </c>
      <c r="F73" s="42" t="s">
        <v>1349</v>
      </c>
      <c r="G73" t="s">
        <v>58</v>
      </c>
      <c r="H73" t="s">
        <v>243</v>
      </c>
      <c r="I73" s="42">
        <v>0</v>
      </c>
      <c r="J73" s="44" t="s">
        <v>31</v>
      </c>
      <c r="K73" s="44" t="s">
        <v>31</v>
      </c>
      <c r="L73" s="44" t="s">
        <v>31</v>
      </c>
      <c r="M73" s="44" t="s">
        <v>31</v>
      </c>
      <c r="N73" s="44" t="s">
        <v>31</v>
      </c>
      <c r="O73" s="42" t="s">
        <v>1366</v>
      </c>
      <c r="Q73" t="s">
        <v>202</v>
      </c>
    </row>
    <row r="74" spans="1:17">
      <c r="A74" t="s">
        <v>380</v>
      </c>
      <c r="B74" s="23">
        <f>-0.25</f>
        <v>-0.25</v>
      </c>
      <c r="D74" t="s">
        <v>37</v>
      </c>
      <c r="E74" s="47" t="s">
        <v>40</v>
      </c>
      <c r="F74" s="42" t="s">
        <v>1349</v>
      </c>
      <c r="G74" t="s">
        <v>58</v>
      </c>
      <c r="H74" t="s">
        <v>33</v>
      </c>
      <c r="I74">
        <v>0</v>
      </c>
      <c r="J74" t="s">
        <v>31</v>
      </c>
      <c r="K74" t="s">
        <v>31</v>
      </c>
      <c r="L74" t="s">
        <v>31</v>
      </c>
      <c r="M74" t="s">
        <v>31</v>
      </c>
      <c r="N74" t="s">
        <v>31</v>
      </c>
      <c r="O74" s="42" t="s">
        <v>1366</v>
      </c>
    </row>
    <row r="75" spans="1:17" s="41" customFormat="1" ht="15.75">
      <c r="A75" s="38" t="s">
        <v>5</v>
      </c>
      <c r="B75" s="38" t="s">
        <v>1373</v>
      </c>
      <c r="C75" s="38"/>
      <c r="D75" s="39"/>
      <c r="E75" s="40"/>
      <c r="F75" s="40"/>
      <c r="G75" s="40"/>
      <c r="H75" s="40"/>
      <c r="I75" s="40"/>
      <c r="J75" s="40"/>
      <c r="K75" s="40"/>
      <c r="L75" s="40"/>
      <c r="M75" s="40"/>
      <c r="N75" s="40"/>
      <c r="O75" s="40"/>
      <c r="P75" s="40"/>
    </row>
    <row r="76" spans="1:17">
      <c r="A76" s="42" t="s">
        <v>7</v>
      </c>
      <c r="B76" s="42" t="s">
        <v>1349</v>
      </c>
      <c r="C76" s="42"/>
      <c r="D76" s="42"/>
      <c r="E76" s="42"/>
      <c r="F76" s="42"/>
      <c r="G76" s="42"/>
      <c r="H76" s="42"/>
      <c r="I76" s="42"/>
      <c r="J76" s="42"/>
      <c r="K76" s="42"/>
      <c r="L76" s="42"/>
      <c r="M76" s="42"/>
      <c r="N76" s="42"/>
      <c r="O76" s="42"/>
      <c r="P76" s="42"/>
    </row>
    <row r="77" spans="1:17">
      <c r="A77" s="42" t="s">
        <v>9</v>
      </c>
      <c r="B77" s="43" t="s">
        <v>1374</v>
      </c>
      <c r="C77" s="42"/>
      <c r="D77" s="42"/>
      <c r="E77" s="42"/>
      <c r="F77" s="42"/>
      <c r="G77" s="42"/>
      <c r="H77" s="42"/>
      <c r="I77" s="42"/>
      <c r="J77" s="42"/>
      <c r="K77" s="42"/>
      <c r="L77" s="42"/>
      <c r="M77" s="42"/>
      <c r="N77" s="42"/>
      <c r="O77" s="42"/>
      <c r="P77" s="42"/>
    </row>
    <row r="78" spans="1:17">
      <c r="A78" s="42" t="s">
        <v>11</v>
      </c>
      <c r="B78" s="42" t="s">
        <v>203</v>
      </c>
      <c r="C78" s="42"/>
      <c r="D78" s="42"/>
      <c r="E78" s="42"/>
      <c r="F78" s="42"/>
      <c r="G78" s="42"/>
      <c r="H78" s="42"/>
      <c r="I78" s="42"/>
      <c r="J78" s="42"/>
      <c r="K78" s="42"/>
      <c r="L78" s="42"/>
      <c r="M78" s="42"/>
      <c r="N78" s="42"/>
      <c r="O78" s="42"/>
      <c r="P78" s="42"/>
    </row>
    <row r="79" spans="1:17">
      <c r="A79" s="42" t="s">
        <v>13</v>
      </c>
      <c r="B79" s="42" t="s">
        <v>58</v>
      </c>
      <c r="C79" s="42"/>
      <c r="D79" s="42"/>
      <c r="E79" s="42"/>
      <c r="F79" s="42"/>
      <c r="G79" s="42"/>
      <c r="H79" s="42"/>
      <c r="I79" s="42"/>
      <c r="J79" s="42"/>
      <c r="K79" s="42"/>
      <c r="L79" s="42"/>
      <c r="M79" s="42"/>
      <c r="N79" s="42"/>
      <c r="O79" s="42"/>
      <c r="P79" s="42"/>
    </row>
    <row r="80" spans="1:17">
      <c r="A80" s="42" t="s">
        <v>15</v>
      </c>
      <c r="B80" s="42">
        <v>1</v>
      </c>
      <c r="C80" s="42"/>
      <c r="D80" s="42"/>
      <c r="E80" s="42"/>
      <c r="F80" s="42"/>
      <c r="G80" s="42"/>
      <c r="H80" s="42"/>
      <c r="I80" s="42"/>
      <c r="J80" s="42"/>
      <c r="K80" s="42"/>
      <c r="L80" s="42"/>
      <c r="M80" s="42"/>
      <c r="N80" s="42"/>
      <c r="O80" s="42"/>
      <c r="P80" s="42"/>
    </row>
    <row r="81" spans="1:17">
      <c r="A81" s="42" t="s">
        <v>16</v>
      </c>
      <c r="B81" s="42" t="s">
        <v>17</v>
      </c>
      <c r="C81" s="42"/>
      <c r="D81" s="42"/>
      <c r="E81" s="42"/>
      <c r="F81" s="42"/>
      <c r="G81" s="42"/>
      <c r="H81" s="42"/>
      <c r="I81" s="42"/>
      <c r="J81" s="42"/>
      <c r="K81" s="42"/>
      <c r="L81" s="42"/>
      <c r="M81" s="42"/>
      <c r="N81" s="42"/>
      <c r="O81" s="42"/>
      <c r="P81" s="42"/>
    </row>
    <row r="82" spans="1:17" ht="15.75">
      <c r="A82" s="42" t="s">
        <v>18</v>
      </c>
      <c r="B82" s="44" t="s">
        <v>37</v>
      </c>
      <c r="C82" s="42"/>
      <c r="D82" s="42"/>
      <c r="E82" s="42" t="s">
        <v>197</v>
      </c>
      <c r="F82" s="42"/>
      <c r="G82" s="42"/>
      <c r="H82" s="42"/>
      <c r="I82" s="42"/>
      <c r="J82" s="42"/>
      <c r="K82" s="42"/>
      <c r="L82" s="42"/>
      <c r="M82" s="42"/>
      <c r="N82" s="42"/>
      <c r="O82" s="42"/>
      <c r="P82" s="42"/>
    </row>
    <row r="83" spans="1:17" ht="15.75">
      <c r="A83" s="45" t="s">
        <v>19</v>
      </c>
      <c r="B83" s="42"/>
      <c r="C83" s="42"/>
      <c r="D83" s="42"/>
      <c r="E83" s="42"/>
      <c r="F83" s="42"/>
      <c r="G83" s="42"/>
      <c r="H83" s="42"/>
      <c r="I83" s="42"/>
      <c r="J83" s="42"/>
      <c r="K83" s="42"/>
      <c r="L83" s="42"/>
      <c r="M83" s="42"/>
      <c r="N83" s="42"/>
      <c r="O83" s="42"/>
      <c r="P83" s="42"/>
    </row>
    <row r="84" spans="1:17" ht="15.75">
      <c r="A84" s="45" t="s">
        <v>20</v>
      </c>
      <c r="B84" s="45" t="s">
        <v>21</v>
      </c>
      <c r="C84" s="45" t="s">
        <v>198</v>
      </c>
      <c r="D84" s="45" t="s">
        <v>18</v>
      </c>
      <c r="E84" s="45" t="s">
        <v>22</v>
      </c>
      <c r="F84" s="45" t="s">
        <v>7</v>
      </c>
      <c r="G84" s="45" t="s">
        <v>13</v>
      </c>
      <c r="H84" s="45" t="s">
        <v>16</v>
      </c>
      <c r="I84" s="45" t="s">
        <v>23</v>
      </c>
      <c r="J84" s="45" t="s">
        <v>24</v>
      </c>
      <c r="K84" s="45" t="s">
        <v>25</v>
      </c>
      <c r="L84" s="45" t="s">
        <v>26</v>
      </c>
      <c r="M84" s="45" t="s">
        <v>27</v>
      </c>
      <c r="N84" s="45" t="s">
        <v>28</v>
      </c>
      <c r="O84" s="45" t="s">
        <v>11</v>
      </c>
      <c r="P84" s="45" t="s">
        <v>199</v>
      </c>
    </row>
    <row r="85" spans="1:17" ht="15.75">
      <c r="A85" s="44" t="str">
        <f>B75</f>
        <v>treatment of copper,powerplant, PEMFC-bat, Medium-Term</v>
      </c>
      <c r="B85" s="44">
        <v>1</v>
      </c>
      <c r="C85" s="44"/>
      <c r="D85" s="44" t="s">
        <v>37</v>
      </c>
      <c r="E85" s="42" t="s">
        <v>2</v>
      </c>
      <c r="F85" s="42" t="s">
        <v>1349</v>
      </c>
      <c r="G85" s="44" t="s">
        <v>58</v>
      </c>
      <c r="H85" s="42" t="s">
        <v>30</v>
      </c>
      <c r="I85" s="42">
        <v>0</v>
      </c>
      <c r="J85" s="44" t="s">
        <v>31</v>
      </c>
      <c r="K85" s="44" t="s">
        <v>31</v>
      </c>
      <c r="L85" s="44" t="s">
        <v>31</v>
      </c>
      <c r="M85" s="44" t="s">
        <v>31</v>
      </c>
      <c r="N85" s="44" t="s">
        <v>31</v>
      </c>
      <c r="O85" s="42" t="s">
        <v>1366</v>
      </c>
    </row>
    <row r="86" spans="1:17" ht="15.75">
      <c r="A86" t="s">
        <v>424</v>
      </c>
      <c r="B86">
        <v>0.85</v>
      </c>
      <c r="C86" t="s">
        <v>425</v>
      </c>
      <c r="D86" t="s">
        <v>37</v>
      </c>
      <c r="E86" t="s">
        <v>40</v>
      </c>
      <c r="F86" s="42" t="s">
        <v>1349</v>
      </c>
      <c r="G86" t="s">
        <v>128</v>
      </c>
      <c r="H86" t="s">
        <v>33</v>
      </c>
      <c r="I86" s="42">
        <v>0</v>
      </c>
      <c r="J86" s="44" t="s">
        <v>31</v>
      </c>
      <c r="K86" s="44" t="s">
        <v>31</v>
      </c>
      <c r="L86" s="44" t="s">
        <v>31</v>
      </c>
      <c r="M86" s="44" t="s">
        <v>31</v>
      </c>
      <c r="N86" s="44" t="s">
        <v>31</v>
      </c>
      <c r="O86" s="42" t="s">
        <v>1366</v>
      </c>
      <c r="Q86" t="s">
        <v>202</v>
      </c>
    </row>
    <row r="87" spans="1:17" ht="15.75">
      <c r="A87" t="s">
        <v>1302</v>
      </c>
      <c r="B87">
        <v>0.85</v>
      </c>
      <c r="D87" t="s">
        <v>37</v>
      </c>
      <c r="E87" t="s">
        <v>40</v>
      </c>
      <c r="F87" s="42" t="s">
        <v>1349</v>
      </c>
      <c r="G87" t="s">
        <v>58</v>
      </c>
      <c r="H87" t="s">
        <v>243</v>
      </c>
      <c r="I87" s="42">
        <v>0</v>
      </c>
      <c r="J87" s="44" t="s">
        <v>31</v>
      </c>
      <c r="K87" s="44" t="s">
        <v>31</v>
      </c>
      <c r="L87" s="44" t="s">
        <v>31</v>
      </c>
      <c r="M87" s="44" t="s">
        <v>31</v>
      </c>
      <c r="N87" s="44" t="s">
        <v>31</v>
      </c>
      <c r="O87" s="42" t="s">
        <v>1366</v>
      </c>
      <c r="Q87" t="s">
        <v>202</v>
      </c>
    </row>
    <row r="88" spans="1:17">
      <c r="A88" t="s">
        <v>380</v>
      </c>
      <c r="B88" s="23">
        <f>-0.25</f>
        <v>-0.25</v>
      </c>
      <c r="D88" t="s">
        <v>37</v>
      </c>
      <c r="E88" s="47" t="s">
        <v>40</v>
      </c>
      <c r="F88" s="42" t="s">
        <v>1349</v>
      </c>
      <c r="G88" t="s">
        <v>58</v>
      </c>
      <c r="H88" t="s">
        <v>33</v>
      </c>
      <c r="I88">
        <v>0</v>
      </c>
      <c r="J88" t="s">
        <v>31</v>
      </c>
      <c r="K88" t="s">
        <v>31</v>
      </c>
      <c r="L88" t="s">
        <v>31</v>
      </c>
      <c r="M88" t="s">
        <v>31</v>
      </c>
      <c r="N88" t="s">
        <v>31</v>
      </c>
      <c r="O88" s="42" t="s">
        <v>1366</v>
      </c>
    </row>
    <row r="89" spans="1:17" s="41" customFormat="1" ht="15.75">
      <c r="A89" s="38" t="s">
        <v>5</v>
      </c>
      <c r="B89" s="38" t="s">
        <v>1375</v>
      </c>
      <c r="C89" s="38"/>
      <c r="D89" s="39"/>
      <c r="E89" s="40"/>
      <c r="F89" s="40"/>
      <c r="G89" s="40"/>
      <c r="H89" s="40"/>
      <c r="I89" s="40"/>
      <c r="J89" s="40"/>
      <c r="K89" s="40"/>
      <c r="L89" s="40"/>
      <c r="M89" s="40"/>
      <c r="N89" s="40"/>
      <c r="O89" s="40"/>
      <c r="P89" s="40"/>
    </row>
    <row r="90" spans="1:17">
      <c r="A90" s="42" t="s">
        <v>7</v>
      </c>
      <c r="B90" s="42" t="s">
        <v>1349</v>
      </c>
      <c r="C90" s="42"/>
      <c r="D90" s="42"/>
      <c r="E90" s="42"/>
      <c r="F90" s="42"/>
      <c r="G90" s="42"/>
      <c r="H90" s="42"/>
      <c r="I90" s="42"/>
      <c r="J90" s="42"/>
      <c r="K90" s="42"/>
      <c r="L90" s="42"/>
      <c r="M90" s="42"/>
      <c r="N90" s="42"/>
      <c r="O90" s="42"/>
      <c r="P90" s="42"/>
    </row>
    <row r="91" spans="1:17">
      <c r="A91" s="42" t="s">
        <v>9</v>
      </c>
      <c r="B91" s="43" t="s">
        <v>1376</v>
      </c>
      <c r="C91" s="42"/>
      <c r="D91" s="42"/>
      <c r="E91" s="42"/>
      <c r="F91" s="42"/>
      <c r="G91" s="42"/>
      <c r="H91" s="42"/>
      <c r="I91" s="42"/>
      <c r="J91" s="42"/>
      <c r="K91" s="42"/>
      <c r="L91" s="42"/>
      <c r="M91" s="42"/>
      <c r="N91" s="42"/>
      <c r="O91" s="42"/>
      <c r="P91" s="42"/>
    </row>
    <row r="92" spans="1:17">
      <c r="A92" s="42" t="s">
        <v>11</v>
      </c>
      <c r="B92" s="42" t="s">
        <v>203</v>
      </c>
      <c r="C92" s="42"/>
      <c r="D92" s="42"/>
      <c r="E92" s="42"/>
      <c r="F92" s="42"/>
      <c r="G92" s="42"/>
      <c r="H92" s="42"/>
      <c r="I92" s="42"/>
      <c r="J92" s="42"/>
      <c r="K92" s="42"/>
      <c r="L92" s="42"/>
      <c r="M92" s="42"/>
      <c r="N92" s="42"/>
      <c r="O92" s="42"/>
      <c r="P92" s="42"/>
    </row>
    <row r="93" spans="1:17">
      <c r="A93" s="42" t="s">
        <v>13</v>
      </c>
      <c r="B93" s="42" t="s">
        <v>58</v>
      </c>
      <c r="C93" s="42"/>
      <c r="D93" s="42"/>
      <c r="E93" s="42"/>
      <c r="F93" s="42"/>
      <c r="G93" s="42"/>
      <c r="H93" s="42"/>
      <c r="I93" s="42"/>
      <c r="J93" s="42"/>
      <c r="K93" s="42"/>
      <c r="L93" s="42"/>
      <c r="M93" s="42"/>
      <c r="N93" s="42"/>
      <c r="O93" s="42"/>
      <c r="P93" s="42"/>
    </row>
    <row r="94" spans="1:17">
      <c r="A94" s="42" t="s">
        <v>15</v>
      </c>
      <c r="B94" s="42">
        <v>1</v>
      </c>
      <c r="C94" s="42"/>
      <c r="D94" s="42"/>
      <c r="E94" s="42"/>
      <c r="F94" s="42"/>
      <c r="G94" s="42"/>
      <c r="H94" s="42"/>
      <c r="I94" s="42"/>
      <c r="J94" s="42"/>
      <c r="K94" s="42"/>
      <c r="L94" s="42"/>
      <c r="M94" s="42"/>
      <c r="N94" s="42"/>
      <c r="O94" s="42"/>
      <c r="P94" s="42"/>
    </row>
    <row r="95" spans="1:17">
      <c r="A95" s="42" t="s">
        <v>16</v>
      </c>
      <c r="B95" s="42" t="s">
        <v>17</v>
      </c>
      <c r="C95" s="42"/>
      <c r="D95" s="42"/>
      <c r="E95" s="42"/>
      <c r="F95" s="42"/>
      <c r="G95" s="42"/>
      <c r="H95" s="42"/>
      <c r="I95" s="42"/>
      <c r="J95" s="42"/>
      <c r="K95" s="42"/>
      <c r="L95" s="42"/>
      <c r="M95" s="42"/>
      <c r="N95" s="42"/>
      <c r="O95" s="42"/>
      <c r="P95" s="42"/>
    </row>
    <row r="96" spans="1:17" ht="15.75">
      <c r="A96" s="42" t="s">
        <v>18</v>
      </c>
      <c r="B96" s="44" t="s">
        <v>37</v>
      </c>
      <c r="C96" s="42"/>
      <c r="D96" s="42"/>
      <c r="E96" s="42" t="s">
        <v>197</v>
      </c>
      <c r="F96" s="42"/>
      <c r="G96" s="42"/>
      <c r="H96" s="42"/>
      <c r="I96" s="42"/>
      <c r="J96" s="42"/>
      <c r="K96" s="42"/>
      <c r="L96" s="42"/>
      <c r="M96" s="42"/>
      <c r="N96" s="42"/>
      <c r="O96" s="42"/>
      <c r="P96" s="42"/>
    </row>
    <row r="97" spans="1:17" ht="15.75">
      <c r="A97" s="45" t="s">
        <v>19</v>
      </c>
      <c r="B97" s="42"/>
      <c r="C97" s="42"/>
      <c r="D97" s="42"/>
      <c r="E97" s="42"/>
      <c r="F97" s="42"/>
      <c r="G97" s="42"/>
      <c r="H97" s="42"/>
      <c r="I97" s="42"/>
      <c r="J97" s="42"/>
      <c r="K97" s="42"/>
      <c r="L97" s="42"/>
      <c r="M97" s="42"/>
      <c r="N97" s="42"/>
      <c r="O97" s="42"/>
      <c r="P97" s="42"/>
    </row>
    <row r="98" spans="1:17" ht="15.75">
      <c r="A98" s="45" t="s">
        <v>20</v>
      </c>
      <c r="B98" s="45" t="s">
        <v>21</v>
      </c>
      <c r="C98" s="45" t="s">
        <v>198</v>
      </c>
      <c r="D98" s="45" t="s">
        <v>18</v>
      </c>
      <c r="E98" s="45" t="s">
        <v>22</v>
      </c>
      <c r="F98" s="45" t="s">
        <v>7</v>
      </c>
      <c r="G98" s="45" t="s">
        <v>13</v>
      </c>
      <c r="H98" s="45" t="s">
        <v>16</v>
      </c>
      <c r="I98" s="45" t="s">
        <v>23</v>
      </c>
      <c r="J98" s="45" t="s">
        <v>24</v>
      </c>
      <c r="K98" s="45" t="s">
        <v>25</v>
      </c>
      <c r="L98" s="45" t="s">
        <v>26</v>
      </c>
      <c r="M98" s="45" t="s">
        <v>27</v>
      </c>
      <c r="N98" s="45" t="s">
        <v>28</v>
      </c>
      <c r="O98" s="45" t="s">
        <v>11</v>
      </c>
      <c r="P98" s="45" t="s">
        <v>199</v>
      </c>
    </row>
    <row r="99" spans="1:17" ht="15.75">
      <c r="A99" s="44" t="str">
        <f>B89</f>
        <v>treatment of magnesium alloy powerplant, PEMFC-bat, Medium-Term</v>
      </c>
      <c r="B99" s="44">
        <v>1</v>
      </c>
      <c r="C99" s="44"/>
      <c r="D99" s="44" t="s">
        <v>37</v>
      </c>
      <c r="E99" s="42" t="s">
        <v>2</v>
      </c>
      <c r="F99" s="42" t="s">
        <v>1349</v>
      </c>
      <c r="G99" s="44" t="s">
        <v>58</v>
      </c>
      <c r="H99" s="42" t="s">
        <v>30</v>
      </c>
      <c r="I99" s="42">
        <v>0</v>
      </c>
      <c r="J99" s="44" t="s">
        <v>31</v>
      </c>
      <c r="K99" s="44" t="s">
        <v>31</v>
      </c>
      <c r="L99" s="44" t="s">
        <v>31</v>
      </c>
      <c r="M99" s="44" t="s">
        <v>31</v>
      </c>
      <c r="N99" s="44" t="s">
        <v>31</v>
      </c>
      <c r="O99" s="42" t="s">
        <v>1377</v>
      </c>
    </row>
    <row r="100" spans="1:17">
      <c r="A100" t="s">
        <v>380</v>
      </c>
      <c r="B100" s="23">
        <v>-0.1</v>
      </c>
      <c r="D100" t="s">
        <v>37</v>
      </c>
      <c r="E100" s="47" t="s">
        <v>40</v>
      </c>
      <c r="F100" s="42" t="s">
        <v>1349</v>
      </c>
      <c r="G100" t="s">
        <v>58</v>
      </c>
      <c r="H100" t="s">
        <v>33</v>
      </c>
      <c r="I100">
        <v>0</v>
      </c>
      <c r="J100" t="s">
        <v>31</v>
      </c>
      <c r="K100" t="s">
        <v>31</v>
      </c>
      <c r="L100" t="s">
        <v>31</v>
      </c>
      <c r="M100" t="s">
        <v>31</v>
      </c>
      <c r="N100" t="s">
        <v>31</v>
      </c>
      <c r="O100" s="42" t="s">
        <v>1378</v>
      </c>
    </row>
    <row r="101" spans="1:17" ht="15.75">
      <c r="A101" t="s">
        <v>424</v>
      </c>
      <c r="B101">
        <f>0.9*0.85</f>
        <v>0.76500000000000001</v>
      </c>
      <c r="C101" t="s">
        <v>425</v>
      </c>
      <c r="D101" t="s">
        <v>37</v>
      </c>
      <c r="E101" t="s">
        <v>40</v>
      </c>
      <c r="F101" s="42" t="s">
        <v>1349</v>
      </c>
      <c r="G101" t="s">
        <v>128</v>
      </c>
      <c r="H101" t="s">
        <v>33</v>
      </c>
      <c r="I101" s="42">
        <v>0</v>
      </c>
      <c r="J101" s="44" t="s">
        <v>31</v>
      </c>
      <c r="K101" s="44" t="s">
        <v>31</v>
      </c>
      <c r="L101" s="44" t="s">
        <v>31</v>
      </c>
      <c r="M101" s="44" t="s">
        <v>31</v>
      </c>
      <c r="N101" s="44" t="s">
        <v>31</v>
      </c>
      <c r="O101" s="42" t="s">
        <v>1379</v>
      </c>
      <c r="Q101" t="s">
        <v>202</v>
      </c>
    </row>
    <row r="102" spans="1:17">
      <c r="A102" t="s">
        <v>380</v>
      </c>
      <c r="B102" s="23">
        <f>-0.25*0.9</f>
        <v>-0.22500000000000001</v>
      </c>
      <c r="D102" t="s">
        <v>37</v>
      </c>
      <c r="E102" s="47" t="s">
        <v>40</v>
      </c>
      <c r="F102" s="42" t="s">
        <v>1349</v>
      </c>
      <c r="G102" t="s">
        <v>58</v>
      </c>
      <c r="H102" t="s">
        <v>33</v>
      </c>
      <c r="I102">
        <v>0</v>
      </c>
      <c r="J102" t="s">
        <v>31</v>
      </c>
      <c r="K102" t="s">
        <v>31</v>
      </c>
      <c r="L102" t="s">
        <v>31</v>
      </c>
      <c r="M102" t="s">
        <v>31</v>
      </c>
      <c r="N102" t="s">
        <v>31</v>
      </c>
      <c r="O102" s="42" t="s">
        <v>1380</v>
      </c>
    </row>
    <row r="103" spans="1:17" s="41" customFormat="1" ht="15.75">
      <c r="A103" s="38" t="s">
        <v>5</v>
      </c>
      <c r="B103" s="38" t="s">
        <v>1381</v>
      </c>
      <c r="C103" s="38"/>
      <c r="D103" s="39"/>
      <c r="E103" s="40"/>
      <c r="F103" s="40"/>
      <c r="G103" s="40"/>
      <c r="H103" s="40"/>
      <c r="I103" s="40"/>
      <c r="J103" s="40"/>
      <c r="K103" s="40"/>
      <c r="L103" s="40"/>
      <c r="M103" s="40"/>
      <c r="N103" s="40"/>
      <c r="O103" s="40"/>
      <c r="P103" s="40"/>
    </row>
    <row r="104" spans="1:17">
      <c r="A104" s="42" t="s">
        <v>7</v>
      </c>
      <c r="B104" s="42" t="s">
        <v>1349</v>
      </c>
      <c r="C104" s="42"/>
      <c r="D104" s="42"/>
      <c r="E104" s="42"/>
      <c r="F104" s="42"/>
      <c r="G104" s="42"/>
      <c r="H104" s="42"/>
      <c r="I104" s="42"/>
      <c r="J104" s="42"/>
      <c r="K104" s="42"/>
      <c r="L104" s="42"/>
      <c r="M104" s="42"/>
      <c r="N104" s="42"/>
      <c r="O104" s="42"/>
      <c r="P104" s="42"/>
    </row>
    <row r="105" spans="1:17">
      <c r="A105" s="42" t="s">
        <v>9</v>
      </c>
      <c r="B105" s="43" t="s">
        <v>1382</v>
      </c>
      <c r="C105" s="42"/>
      <c r="D105" s="42"/>
      <c r="E105" s="42"/>
      <c r="F105" s="42"/>
      <c r="G105" s="42"/>
      <c r="H105" s="42"/>
      <c r="I105" s="42"/>
      <c r="J105" s="42"/>
      <c r="K105" s="42"/>
      <c r="L105" s="42"/>
      <c r="M105" s="42"/>
      <c r="N105" s="42"/>
      <c r="O105" s="42"/>
      <c r="P105" s="42"/>
    </row>
    <row r="106" spans="1:17">
      <c r="A106" s="42" t="s">
        <v>11</v>
      </c>
      <c r="B106" s="42" t="s">
        <v>203</v>
      </c>
      <c r="C106" s="42"/>
      <c r="D106" s="42"/>
      <c r="E106" s="42"/>
      <c r="F106" s="42"/>
      <c r="G106" s="42"/>
      <c r="H106" s="42"/>
      <c r="I106" s="42"/>
      <c r="J106" s="42"/>
      <c r="K106" s="42"/>
      <c r="L106" s="42"/>
      <c r="M106" s="42"/>
      <c r="N106" s="42"/>
      <c r="O106" s="42"/>
      <c r="P106" s="42"/>
    </row>
    <row r="107" spans="1:17">
      <c r="A107" s="42" t="s">
        <v>13</v>
      </c>
      <c r="B107" s="42" t="s">
        <v>58</v>
      </c>
      <c r="C107" s="42"/>
      <c r="D107" s="42"/>
      <c r="E107" s="42"/>
      <c r="F107" s="42"/>
      <c r="G107" s="42"/>
      <c r="H107" s="42"/>
      <c r="I107" s="42"/>
      <c r="J107" s="42"/>
      <c r="K107" s="42"/>
      <c r="L107" s="42"/>
      <c r="M107" s="42"/>
      <c r="N107" s="42"/>
      <c r="O107" s="42"/>
      <c r="P107" s="42"/>
    </row>
    <row r="108" spans="1:17">
      <c r="A108" s="42" t="s">
        <v>15</v>
      </c>
      <c r="B108" s="42">
        <v>1</v>
      </c>
      <c r="C108" s="42"/>
      <c r="D108" s="42"/>
      <c r="E108" s="42"/>
      <c r="F108" s="42"/>
      <c r="G108" s="42"/>
      <c r="H108" s="42"/>
      <c r="I108" s="42"/>
      <c r="J108" s="42"/>
      <c r="K108" s="42"/>
      <c r="L108" s="42"/>
      <c r="M108" s="42"/>
      <c r="N108" s="42"/>
      <c r="O108" s="42"/>
      <c r="P108" s="42"/>
    </row>
    <row r="109" spans="1:17">
      <c r="A109" s="42" t="s">
        <v>16</v>
      </c>
      <c r="B109" s="42" t="s">
        <v>17</v>
      </c>
      <c r="C109" s="42"/>
      <c r="D109" s="42"/>
      <c r="E109" s="42"/>
      <c r="F109" s="42"/>
      <c r="G109" s="42"/>
      <c r="H109" s="42"/>
      <c r="I109" s="42"/>
      <c r="J109" s="42"/>
      <c r="K109" s="42"/>
      <c r="L109" s="42"/>
      <c r="M109" s="42"/>
      <c r="N109" s="42"/>
      <c r="O109" s="42"/>
      <c r="P109" s="42"/>
    </row>
    <row r="110" spans="1:17" ht="15.75">
      <c r="A110" s="42" t="s">
        <v>18</v>
      </c>
      <c r="B110" s="44" t="s">
        <v>37</v>
      </c>
      <c r="C110" s="42"/>
      <c r="D110" s="42"/>
      <c r="E110" s="42" t="s">
        <v>197</v>
      </c>
      <c r="F110" s="42"/>
      <c r="G110" s="42"/>
      <c r="H110" s="42"/>
      <c r="I110" s="42"/>
      <c r="J110" s="42"/>
      <c r="K110" s="42"/>
      <c r="L110" s="42"/>
      <c r="M110" s="42"/>
      <c r="N110" s="42"/>
      <c r="O110" s="42"/>
      <c r="P110" s="42"/>
    </row>
    <row r="111" spans="1:17" ht="15.75">
      <c r="A111" s="45" t="s">
        <v>19</v>
      </c>
      <c r="B111" s="42"/>
      <c r="C111" s="42"/>
      <c r="D111" s="42"/>
      <c r="E111" s="42"/>
      <c r="F111" s="42"/>
      <c r="G111" s="42"/>
      <c r="H111" s="42"/>
      <c r="I111" s="42"/>
      <c r="J111" s="42"/>
      <c r="K111" s="42"/>
      <c r="L111" s="42"/>
      <c r="M111" s="42"/>
      <c r="N111" s="42"/>
      <c r="O111" s="42"/>
      <c r="P111" s="42"/>
    </row>
    <row r="112" spans="1:17" ht="15.75">
      <c r="A112" s="45" t="s">
        <v>20</v>
      </c>
      <c r="B112" s="45" t="s">
        <v>21</v>
      </c>
      <c r="C112" s="45" t="s">
        <v>198</v>
      </c>
      <c r="D112" s="45" t="s">
        <v>18</v>
      </c>
      <c r="E112" s="45" t="s">
        <v>22</v>
      </c>
      <c r="F112" s="45" t="s">
        <v>7</v>
      </c>
      <c r="G112" s="45" t="s">
        <v>13</v>
      </c>
      <c r="H112" s="45" t="s">
        <v>16</v>
      </c>
      <c r="I112" s="45" t="s">
        <v>23</v>
      </c>
      <c r="J112" s="45" t="s">
        <v>24</v>
      </c>
      <c r="K112" s="45" t="s">
        <v>25</v>
      </c>
      <c r="L112" s="45" t="s">
        <v>26</v>
      </c>
      <c r="M112" s="45" t="s">
        <v>27</v>
      </c>
      <c r="N112" s="45" t="s">
        <v>28</v>
      </c>
      <c r="O112" s="45" t="s">
        <v>11</v>
      </c>
      <c r="P112" s="45" t="s">
        <v>199</v>
      </c>
    </row>
    <row r="113" spans="1:16" ht="15.75">
      <c r="A113" s="44" t="str">
        <f>B103</f>
        <v>treatment of rubber and cellulose fibre powerplant, PEMFC-bat, Medium-Term</v>
      </c>
      <c r="B113" s="44">
        <v>1</v>
      </c>
      <c r="C113" s="44"/>
      <c r="D113" s="44" t="s">
        <v>37</v>
      </c>
      <c r="E113" s="42" t="s">
        <v>2</v>
      </c>
      <c r="F113" s="42" t="s">
        <v>1349</v>
      </c>
      <c r="G113" s="44" t="s">
        <v>58</v>
      </c>
      <c r="H113" s="42" t="s">
        <v>30</v>
      </c>
      <c r="I113" s="42">
        <v>0</v>
      </c>
      <c r="J113" s="44" t="s">
        <v>31</v>
      </c>
      <c r="K113" s="44" t="s">
        <v>31</v>
      </c>
      <c r="L113" s="44" t="s">
        <v>31</v>
      </c>
      <c r="M113" s="44" t="s">
        <v>31</v>
      </c>
      <c r="N113" s="44" t="s">
        <v>31</v>
      </c>
      <c r="O113" s="42" t="s">
        <v>1383</v>
      </c>
    </row>
    <row r="114" spans="1:16" ht="15.75">
      <c r="A114" s="47" t="s">
        <v>309</v>
      </c>
      <c r="B114" s="42">
        <f>-1</f>
        <v>-1</v>
      </c>
      <c r="D114" t="s">
        <v>37</v>
      </c>
      <c r="E114" s="46" t="s">
        <v>40</v>
      </c>
      <c r="F114" s="42" t="s">
        <v>1349</v>
      </c>
      <c r="G114" t="s">
        <v>128</v>
      </c>
      <c r="H114" t="s">
        <v>33</v>
      </c>
      <c r="I114" s="42">
        <v>0</v>
      </c>
      <c r="J114" s="44" t="s">
        <v>31</v>
      </c>
      <c r="K114" s="44" t="s">
        <v>31</v>
      </c>
      <c r="L114" s="44" t="s">
        <v>31</v>
      </c>
      <c r="M114" s="44" t="s">
        <v>31</v>
      </c>
      <c r="N114" s="44" t="s">
        <v>31</v>
      </c>
      <c r="O114" s="44"/>
    </row>
    <row r="115" spans="1:16" s="56" customFormat="1" ht="15.75">
      <c r="A115" s="53" t="s">
        <v>5</v>
      </c>
      <c r="B115" s="53" t="s">
        <v>1384</v>
      </c>
      <c r="C115" s="53"/>
      <c r="D115" s="54"/>
      <c r="E115" s="55"/>
      <c r="F115" s="55"/>
      <c r="G115" s="55"/>
      <c r="H115" s="55"/>
      <c r="I115" s="55"/>
      <c r="J115" s="55"/>
      <c r="K115" s="55"/>
      <c r="L115" s="55"/>
      <c r="M115" s="55"/>
      <c r="N115" s="55"/>
      <c r="O115" s="55"/>
      <c r="P115" s="55"/>
    </row>
    <row r="116" spans="1:16">
      <c r="A116" s="42" t="s">
        <v>7</v>
      </c>
      <c r="B116" s="42" t="s">
        <v>1349</v>
      </c>
      <c r="C116" s="42"/>
      <c r="D116" s="42"/>
      <c r="E116" s="42"/>
      <c r="F116" s="42"/>
      <c r="G116" s="42"/>
      <c r="H116" s="42"/>
      <c r="I116" s="42"/>
      <c r="J116" s="42"/>
      <c r="K116" s="42"/>
      <c r="L116" s="42"/>
      <c r="M116" s="42"/>
      <c r="N116" s="42"/>
      <c r="O116" s="42"/>
      <c r="P116" s="42"/>
    </row>
    <row r="117" spans="1:16">
      <c r="A117" s="42" t="s">
        <v>9</v>
      </c>
      <c r="B117" s="43" t="s">
        <v>1385</v>
      </c>
      <c r="C117" s="42"/>
      <c r="D117" s="42"/>
      <c r="E117" s="42"/>
      <c r="F117" s="42"/>
      <c r="G117" s="42"/>
      <c r="H117" s="42"/>
      <c r="I117" s="42"/>
      <c r="J117" s="42"/>
      <c r="K117" s="42"/>
      <c r="L117" s="42"/>
      <c r="M117" s="42"/>
      <c r="N117" s="42"/>
      <c r="O117" s="42"/>
      <c r="P117" s="42"/>
    </row>
    <row r="118" spans="1:16">
      <c r="A118" s="42" t="s">
        <v>11</v>
      </c>
      <c r="B118" s="42" t="s">
        <v>203</v>
      </c>
      <c r="C118" s="42"/>
      <c r="D118" s="42"/>
      <c r="E118" s="42"/>
      <c r="F118" s="42"/>
      <c r="G118" s="42"/>
      <c r="H118" s="42"/>
      <c r="I118" s="42"/>
      <c r="J118" s="42"/>
      <c r="K118" s="42"/>
      <c r="L118" s="42"/>
      <c r="M118" s="42"/>
      <c r="N118" s="42"/>
      <c r="O118" s="42"/>
      <c r="P118" s="42"/>
    </row>
    <row r="119" spans="1:16">
      <c r="A119" s="42" t="s">
        <v>13</v>
      </c>
      <c r="B119" s="42" t="s">
        <v>58</v>
      </c>
      <c r="C119" s="42"/>
      <c r="D119" s="42"/>
      <c r="E119" s="42"/>
      <c r="F119" s="42"/>
      <c r="G119" s="42"/>
      <c r="H119" s="42"/>
      <c r="I119" s="42"/>
      <c r="J119" s="42"/>
      <c r="K119" s="42"/>
      <c r="L119" s="42"/>
      <c r="M119" s="42"/>
      <c r="N119" s="42"/>
      <c r="O119" s="42"/>
      <c r="P119" s="42"/>
    </row>
    <row r="120" spans="1:16">
      <c r="A120" s="42" t="s">
        <v>15</v>
      </c>
      <c r="B120" s="42">
        <v>1</v>
      </c>
      <c r="C120" s="42"/>
      <c r="D120" s="42"/>
      <c r="E120" s="42"/>
      <c r="F120" s="42"/>
      <c r="G120" s="42"/>
      <c r="H120" s="42"/>
      <c r="I120" s="42"/>
      <c r="J120" s="42"/>
      <c r="K120" s="42"/>
      <c r="L120" s="42"/>
      <c r="M120" s="42"/>
      <c r="N120" s="42"/>
      <c r="O120" s="42"/>
      <c r="P120" s="42"/>
    </row>
    <row r="121" spans="1:16">
      <c r="A121" s="42" t="s">
        <v>16</v>
      </c>
      <c r="B121" s="42" t="s">
        <v>17</v>
      </c>
      <c r="C121" s="42"/>
      <c r="D121" s="42"/>
      <c r="E121" s="42"/>
      <c r="F121" s="42"/>
      <c r="G121" s="42"/>
      <c r="H121" s="42"/>
      <c r="I121" s="42"/>
      <c r="J121" s="42"/>
      <c r="K121" s="42"/>
      <c r="L121" s="42"/>
      <c r="M121" s="42"/>
      <c r="N121" s="42"/>
      <c r="O121" s="42"/>
      <c r="P121" s="42"/>
    </row>
    <row r="122" spans="1:16" ht="15.75">
      <c r="A122" s="42" t="s">
        <v>18</v>
      </c>
      <c r="B122" s="44" t="s">
        <v>18</v>
      </c>
      <c r="C122" s="42"/>
      <c r="D122" s="42"/>
      <c r="E122" s="42" t="s">
        <v>197</v>
      </c>
      <c r="F122" s="42"/>
      <c r="G122" s="42"/>
      <c r="H122" s="42"/>
      <c r="I122" s="42"/>
      <c r="J122" s="42"/>
      <c r="K122" s="42"/>
      <c r="L122" s="42"/>
      <c r="M122" s="42"/>
      <c r="N122" s="42"/>
      <c r="O122" s="42"/>
      <c r="P122" s="42"/>
    </row>
    <row r="123" spans="1:16" ht="15.75">
      <c r="A123" s="45" t="s">
        <v>19</v>
      </c>
      <c r="B123" s="42"/>
      <c r="C123" s="42"/>
      <c r="D123" s="42"/>
      <c r="E123" s="42"/>
      <c r="F123" s="42"/>
      <c r="G123" s="42"/>
      <c r="H123" s="42"/>
      <c r="I123" s="42"/>
      <c r="J123" s="42"/>
      <c r="K123" s="42"/>
      <c r="L123" s="42"/>
      <c r="M123" s="42"/>
      <c r="N123" s="42"/>
      <c r="O123" s="42"/>
      <c r="P123" s="42"/>
    </row>
    <row r="124" spans="1:16" ht="15.75">
      <c r="A124" s="45" t="s">
        <v>20</v>
      </c>
      <c r="B124" s="45" t="s">
        <v>21</v>
      </c>
      <c r="C124" s="45" t="s">
        <v>198</v>
      </c>
      <c r="D124" s="45" t="s">
        <v>18</v>
      </c>
      <c r="E124" s="45" t="s">
        <v>22</v>
      </c>
      <c r="F124" s="45" t="s">
        <v>7</v>
      </c>
      <c r="G124" s="45" t="s">
        <v>13</v>
      </c>
      <c r="H124" s="45" t="s">
        <v>16</v>
      </c>
      <c r="I124" s="45" t="s">
        <v>23</v>
      </c>
      <c r="J124" s="45" t="s">
        <v>24</v>
      </c>
      <c r="K124" s="45" t="s">
        <v>25</v>
      </c>
      <c r="L124" s="45" t="s">
        <v>26</v>
      </c>
      <c r="M124" s="45" t="s">
        <v>27</v>
      </c>
      <c r="N124" s="45" t="s">
        <v>28</v>
      </c>
      <c r="O124" s="45" t="s">
        <v>11</v>
      </c>
      <c r="P124" s="45" t="s">
        <v>199</v>
      </c>
    </row>
    <row r="125" spans="1:16" ht="15.75">
      <c r="A125" s="44" t="str">
        <f>B115</f>
        <v>treatment of powerplant, PEMFC-bat, Medium-Term</v>
      </c>
      <c r="B125" s="45">
        <v>1</v>
      </c>
      <c r="C125" s="44"/>
      <c r="D125" s="44" t="s">
        <v>18</v>
      </c>
      <c r="E125" s="42" t="s">
        <v>2</v>
      </c>
      <c r="F125" s="42" t="s">
        <v>1349</v>
      </c>
      <c r="G125" s="44" t="s">
        <v>58</v>
      </c>
      <c r="H125" s="42" t="s">
        <v>30</v>
      </c>
      <c r="I125" s="42">
        <v>0</v>
      </c>
      <c r="J125" s="44" t="s">
        <v>31</v>
      </c>
      <c r="K125" s="44" t="s">
        <v>31</v>
      </c>
      <c r="L125" s="44" t="s">
        <v>31</v>
      </c>
      <c r="M125" s="44" t="s">
        <v>31</v>
      </c>
      <c r="N125" s="44" t="s">
        <v>31</v>
      </c>
      <c r="O125" s="45"/>
      <c r="P125" s="45"/>
    </row>
    <row r="126" spans="1:16" ht="15.75">
      <c r="A126" t="str">
        <f>B32</f>
        <v>treatment of aluminium,powerplant, PEMFC-bat, Medium-Term</v>
      </c>
      <c r="B126">
        <v>82.82946739999997</v>
      </c>
      <c r="D126" t="s">
        <v>37</v>
      </c>
      <c r="E126" s="42" t="s">
        <v>2</v>
      </c>
      <c r="F126" s="42" t="s">
        <v>1349</v>
      </c>
      <c r="G126" s="44" t="s">
        <v>58</v>
      </c>
      <c r="H126" t="s">
        <v>33</v>
      </c>
      <c r="I126" s="42">
        <v>0</v>
      </c>
      <c r="J126" s="44" t="s">
        <v>31</v>
      </c>
      <c r="K126" s="44" t="s">
        <v>31</v>
      </c>
      <c r="L126" s="44" t="s">
        <v>31</v>
      </c>
      <c r="M126" s="44" t="s">
        <v>31</v>
      </c>
      <c r="N126" s="44" t="s">
        <v>31</v>
      </c>
    </row>
    <row r="127" spans="1:16" ht="15.75">
      <c r="A127" t="str">
        <f>'airframe EoL LCI'!B32</f>
        <v>treatment of steel, wing, airframe, PEMFC-bat, Medium-Term</v>
      </c>
      <c r="B127">
        <v>71.267734470000022</v>
      </c>
      <c r="D127" t="s">
        <v>37</v>
      </c>
      <c r="E127" s="42" t="s">
        <v>2</v>
      </c>
      <c r="F127" s="42" t="s">
        <v>1349</v>
      </c>
      <c r="G127" s="44" t="s">
        <v>58</v>
      </c>
      <c r="H127" t="s">
        <v>33</v>
      </c>
      <c r="I127" s="42">
        <v>0</v>
      </c>
      <c r="J127" s="44" t="s">
        <v>31</v>
      </c>
      <c r="K127" s="44" t="s">
        <v>31</v>
      </c>
      <c r="L127" s="44" t="s">
        <v>31</v>
      </c>
      <c r="M127" s="44" t="s">
        <v>31</v>
      </c>
      <c r="N127" s="44" t="s">
        <v>31</v>
      </c>
    </row>
    <row r="128" spans="1:16" ht="15.75">
      <c r="A128" t="str">
        <f>B17</f>
        <v>treatment of CFRP,powerplant, PEMFC-bat, Medium-Term</v>
      </c>
      <c r="B128">
        <v>37.923595136000003</v>
      </c>
      <c r="D128" t="s">
        <v>37</v>
      </c>
      <c r="E128" s="42" t="s">
        <v>2</v>
      </c>
      <c r="F128" s="42" t="s">
        <v>1349</v>
      </c>
      <c r="G128" s="44" t="s">
        <v>58</v>
      </c>
      <c r="H128" t="s">
        <v>33</v>
      </c>
      <c r="I128" s="42">
        <v>0</v>
      </c>
      <c r="J128" s="44" t="s">
        <v>31</v>
      </c>
      <c r="K128" s="44" t="s">
        <v>31</v>
      </c>
      <c r="L128" s="44" t="s">
        <v>31</v>
      </c>
      <c r="M128" s="44" t="s">
        <v>31</v>
      </c>
      <c r="N128" s="44" t="s">
        <v>31</v>
      </c>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F4E0-D093-439C-9EBF-5052C42B3865}">
  <sheetPr>
    <tabColor theme="9"/>
  </sheetPr>
  <dimension ref="A1:V249"/>
  <sheetViews>
    <sheetView topLeftCell="A174" zoomScaleNormal="100" workbookViewId="0">
      <selection activeCell="E36" sqref="E36"/>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41" customFormat="1" ht="15.75">
      <c r="A2" s="38" t="s">
        <v>5</v>
      </c>
      <c r="B2" s="38" t="s">
        <v>1386</v>
      </c>
      <c r="C2" s="38"/>
      <c r="D2" s="39"/>
      <c r="E2" s="40"/>
      <c r="F2" s="40"/>
      <c r="G2" s="40"/>
      <c r="H2" s="40"/>
      <c r="I2" s="40"/>
      <c r="J2" s="40"/>
      <c r="K2" s="40"/>
      <c r="L2" s="40"/>
      <c r="M2" s="40"/>
      <c r="N2" s="40"/>
      <c r="O2" s="40"/>
      <c r="P2" s="40"/>
    </row>
    <row r="3" spans="1:16">
      <c r="A3" s="42" t="s">
        <v>7</v>
      </c>
      <c r="B3" s="42" t="s">
        <v>1349</v>
      </c>
      <c r="C3" s="42"/>
      <c r="D3" s="42"/>
      <c r="E3" s="42"/>
      <c r="F3" s="42"/>
      <c r="G3" s="42"/>
      <c r="H3" s="42"/>
      <c r="I3" s="42"/>
      <c r="J3" s="42"/>
      <c r="K3" s="42"/>
      <c r="L3" s="42"/>
      <c r="M3" s="42"/>
      <c r="N3" s="42"/>
      <c r="O3" s="42"/>
      <c r="P3" s="42"/>
    </row>
    <row r="4" spans="1:16">
      <c r="A4" s="42" t="s">
        <v>9</v>
      </c>
      <c r="B4" s="43" t="s">
        <v>1387</v>
      </c>
      <c r="C4" s="42"/>
      <c r="D4" s="42"/>
      <c r="E4" s="42"/>
      <c r="F4" s="42"/>
      <c r="G4" s="42"/>
      <c r="H4" s="42"/>
      <c r="I4" s="42"/>
      <c r="J4" s="42"/>
      <c r="K4" s="42"/>
      <c r="L4" s="42"/>
      <c r="M4" s="42"/>
      <c r="N4" s="42"/>
      <c r="O4" s="42"/>
      <c r="P4" s="42"/>
    </row>
    <row r="5" spans="1:16">
      <c r="A5" s="42" t="s">
        <v>11</v>
      </c>
      <c r="B5" s="42" t="s">
        <v>1388</v>
      </c>
      <c r="C5" s="42"/>
      <c r="D5" s="42"/>
      <c r="E5" s="42"/>
      <c r="F5" s="42"/>
      <c r="G5" s="42"/>
      <c r="H5" s="42"/>
      <c r="I5" s="42"/>
      <c r="J5" s="42"/>
      <c r="K5" s="42"/>
      <c r="L5" s="42"/>
      <c r="M5" s="42"/>
      <c r="N5" s="42"/>
      <c r="O5" s="42"/>
      <c r="P5" s="42"/>
    </row>
    <row r="6" spans="1:16">
      <c r="A6" s="42" t="s">
        <v>13</v>
      </c>
      <c r="B6" s="42" t="s">
        <v>58</v>
      </c>
      <c r="C6" s="42"/>
      <c r="D6" s="42"/>
      <c r="E6" s="42"/>
      <c r="F6" s="42"/>
      <c r="G6" s="42"/>
      <c r="H6" s="42"/>
      <c r="I6" s="42"/>
      <c r="J6" s="42"/>
      <c r="K6" s="42"/>
      <c r="L6" s="42"/>
      <c r="M6" s="42"/>
      <c r="N6" s="42"/>
      <c r="O6" s="42"/>
      <c r="P6" s="42"/>
    </row>
    <row r="7" spans="1:16">
      <c r="A7" s="42" t="s">
        <v>15</v>
      </c>
      <c r="B7" s="42">
        <v>1</v>
      </c>
      <c r="C7" s="42"/>
      <c r="D7" s="42"/>
      <c r="E7" s="42"/>
      <c r="F7" s="42"/>
      <c r="G7" s="42"/>
      <c r="H7" s="42"/>
      <c r="I7" s="42"/>
      <c r="J7" s="42"/>
      <c r="K7" s="42"/>
      <c r="L7" s="42"/>
      <c r="M7" s="42"/>
      <c r="N7" s="42"/>
      <c r="O7" s="42"/>
      <c r="P7" s="42"/>
    </row>
    <row r="8" spans="1:16">
      <c r="A8" s="42" t="s">
        <v>16</v>
      </c>
      <c r="B8" s="42" t="s">
        <v>17</v>
      </c>
      <c r="C8" s="42"/>
      <c r="D8" s="42"/>
      <c r="E8" s="42"/>
      <c r="F8" s="42"/>
      <c r="G8" s="42"/>
      <c r="H8" s="42"/>
      <c r="I8" s="42"/>
      <c r="J8" s="42"/>
      <c r="K8" s="42"/>
      <c r="L8" s="42"/>
      <c r="M8" s="42"/>
      <c r="N8" s="42"/>
      <c r="O8" s="42"/>
      <c r="P8" s="42"/>
    </row>
    <row r="9" spans="1:16" ht="15.75">
      <c r="A9" s="42" t="s">
        <v>18</v>
      </c>
      <c r="B9" s="44" t="s">
        <v>37</v>
      </c>
      <c r="C9" s="42"/>
      <c r="D9" s="42"/>
      <c r="E9" s="42" t="s">
        <v>197</v>
      </c>
      <c r="F9" s="42"/>
      <c r="G9" s="42"/>
      <c r="H9" s="42"/>
      <c r="I9" s="42"/>
      <c r="J9" s="42"/>
      <c r="K9" s="42"/>
      <c r="L9" s="42"/>
      <c r="M9" s="42"/>
      <c r="N9" s="42"/>
      <c r="O9" s="42"/>
      <c r="P9" s="42"/>
    </row>
    <row r="10" spans="1:16" ht="15.75">
      <c r="A10" s="45" t="s">
        <v>19</v>
      </c>
      <c r="B10" s="42"/>
      <c r="C10" s="42"/>
      <c r="D10" s="42"/>
      <c r="E10" s="42"/>
      <c r="F10" s="42"/>
      <c r="G10" s="42"/>
      <c r="H10" s="42"/>
      <c r="I10" s="42"/>
      <c r="J10" s="42"/>
      <c r="K10" s="42"/>
      <c r="L10" s="42"/>
      <c r="M10" s="42"/>
      <c r="N10" s="42"/>
      <c r="O10" s="42"/>
      <c r="P10" s="42"/>
    </row>
    <row r="11" spans="1:16"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16" ht="15.75">
      <c r="A12" s="44" t="str">
        <f>B2</f>
        <v>treatment of aluminium, wing, airframe, PEMFC-bat, Medium-Term</v>
      </c>
      <c r="B12" s="44">
        <v>1</v>
      </c>
      <c r="C12" s="44"/>
      <c r="D12" s="44" t="s">
        <v>37</v>
      </c>
      <c r="E12" s="42" t="s">
        <v>2</v>
      </c>
      <c r="F12" s="42" t="s">
        <v>1389</v>
      </c>
      <c r="G12" s="44" t="s">
        <v>58</v>
      </c>
      <c r="H12" s="42" t="s">
        <v>30</v>
      </c>
      <c r="I12" s="42">
        <v>0</v>
      </c>
      <c r="J12" s="44" t="s">
        <v>31</v>
      </c>
      <c r="K12" s="44" t="s">
        <v>31</v>
      </c>
      <c r="L12" s="44" t="s">
        <v>31</v>
      </c>
      <c r="M12" s="44" t="s">
        <v>31</v>
      </c>
      <c r="N12" s="44" t="s">
        <v>31</v>
      </c>
      <c r="O12" s="44" t="s">
        <v>1390</v>
      </c>
      <c r="P12" s="42"/>
    </row>
    <row r="13" spans="1:16" ht="15.75">
      <c r="A13" t="s">
        <v>245</v>
      </c>
      <c r="B13" s="23">
        <v>0.7</v>
      </c>
      <c r="C13" s="44"/>
      <c r="D13" s="44" t="s">
        <v>37</v>
      </c>
      <c r="E13" s="32" t="s">
        <v>40</v>
      </c>
      <c r="F13" s="42" t="s">
        <v>1389</v>
      </c>
      <c r="G13" s="44" t="s">
        <v>128</v>
      </c>
      <c r="H13" s="42" t="s">
        <v>33</v>
      </c>
      <c r="I13" s="42">
        <v>0</v>
      </c>
      <c r="J13" s="44" t="s">
        <v>31</v>
      </c>
      <c r="K13" s="44" t="s">
        <v>31</v>
      </c>
      <c r="L13" s="44" t="s">
        <v>31</v>
      </c>
      <c r="M13" s="44" t="s">
        <v>31</v>
      </c>
      <c r="N13" s="44" t="s">
        <v>31</v>
      </c>
      <c r="O13" s="42"/>
      <c r="P13" s="42"/>
    </row>
    <row r="14" spans="1:16" ht="15.75">
      <c r="A14" t="s">
        <v>247</v>
      </c>
      <c r="B14" s="23">
        <v>0.7</v>
      </c>
      <c r="C14" s="22" t="s">
        <v>248</v>
      </c>
      <c r="D14" t="s">
        <v>37</v>
      </c>
      <c r="E14" s="46" t="s">
        <v>40</v>
      </c>
      <c r="F14" s="42" t="s">
        <v>1389</v>
      </c>
      <c r="G14" t="s">
        <v>128</v>
      </c>
      <c r="H14" s="42" t="s">
        <v>33</v>
      </c>
      <c r="I14" s="42">
        <v>0</v>
      </c>
      <c r="J14" s="44" t="s">
        <v>31</v>
      </c>
      <c r="K14" s="44" t="s">
        <v>31</v>
      </c>
      <c r="L14" s="44" t="s">
        <v>31</v>
      </c>
      <c r="M14" s="44" t="s">
        <v>31</v>
      </c>
      <c r="N14" s="44" t="s">
        <v>31</v>
      </c>
      <c r="O14" s="44" t="s">
        <v>1367</v>
      </c>
    </row>
    <row r="15" spans="1:16" ht="15.75">
      <c r="A15" t="s">
        <v>329</v>
      </c>
      <c r="B15" s="23">
        <f>0.7*0.9</f>
        <v>0.63</v>
      </c>
      <c r="D15" t="s">
        <v>37</v>
      </c>
      <c r="E15" s="46" t="s">
        <v>40</v>
      </c>
      <c r="F15" s="42" t="s">
        <v>1389</v>
      </c>
      <c r="G15" t="s">
        <v>58</v>
      </c>
      <c r="H15" s="42" t="s">
        <v>243</v>
      </c>
      <c r="I15" s="42">
        <v>0</v>
      </c>
      <c r="J15" s="44" t="s">
        <v>31</v>
      </c>
      <c r="K15" s="44" t="s">
        <v>31</v>
      </c>
      <c r="L15" s="44" t="s">
        <v>31</v>
      </c>
      <c r="M15" s="44" t="s">
        <v>31</v>
      </c>
      <c r="N15" s="44" t="s">
        <v>31</v>
      </c>
      <c r="O15" s="42"/>
      <c r="P15" s="44" t="s">
        <v>1391</v>
      </c>
    </row>
    <row r="16" spans="1:16" ht="15.75">
      <c r="A16" t="s">
        <v>380</v>
      </c>
      <c r="B16" s="23">
        <f>-(1-B15)</f>
        <v>-0.37</v>
      </c>
      <c r="D16" t="s">
        <v>37</v>
      </c>
      <c r="E16" s="47" t="s">
        <v>40</v>
      </c>
      <c r="F16" s="42" t="s">
        <v>1389</v>
      </c>
      <c r="G16" t="s">
        <v>58</v>
      </c>
      <c r="H16" t="s">
        <v>33</v>
      </c>
      <c r="I16">
        <v>0</v>
      </c>
      <c r="J16" t="s">
        <v>31</v>
      </c>
      <c r="K16" t="s">
        <v>31</v>
      </c>
      <c r="L16" t="s">
        <v>31</v>
      </c>
      <c r="M16" t="s">
        <v>31</v>
      </c>
      <c r="N16" t="s">
        <v>31</v>
      </c>
      <c r="O16" s="17"/>
      <c r="P16" s="42"/>
    </row>
    <row r="17" spans="1:16" s="41" customFormat="1" ht="15.75">
      <c r="A17" s="38" t="s">
        <v>5</v>
      </c>
      <c r="B17" s="38" t="s">
        <v>1392</v>
      </c>
      <c r="C17" s="38"/>
      <c r="D17" s="39"/>
      <c r="E17" s="40"/>
      <c r="F17" s="40"/>
      <c r="G17" s="40"/>
      <c r="H17" s="40"/>
      <c r="I17" s="40"/>
      <c r="J17" s="40"/>
      <c r="K17" s="40"/>
      <c r="L17" s="40"/>
      <c r="M17" s="40"/>
      <c r="N17" s="40"/>
      <c r="O17" s="40"/>
      <c r="P17" s="40"/>
    </row>
    <row r="18" spans="1:16">
      <c r="A18" s="42" t="s">
        <v>7</v>
      </c>
      <c r="B18" s="42" t="s">
        <v>1349</v>
      </c>
      <c r="C18" s="42"/>
      <c r="D18" s="42"/>
      <c r="E18" s="42"/>
      <c r="F18" s="42"/>
      <c r="G18" s="42"/>
      <c r="H18" s="42"/>
      <c r="I18" s="42"/>
      <c r="J18" s="42"/>
      <c r="K18" s="42"/>
      <c r="L18" s="42"/>
      <c r="M18" s="42"/>
      <c r="N18" s="42"/>
      <c r="O18" s="42"/>
      <c r="P18" s="42"/>
    </row>
    <row r="19" spans="1:16">
      <c r="A19" s="42" t="s">
        <v>9</v>
      </c>
      <c r="B19" s="43" t="s">
        <v>1393</v>
      </c>
      <c r="C19" s="42"/>
      <c r="D19" s="42"/>
      <c r="E19" s="42"/>
      <c r="F19" s="42"/>
      <c r="G19" s="42"/>
      <c r="H19" s="42"/>
      <c r="I19" s="42"/>
      <c r="J19" s="42"/>
      <c r="K19" s="42"/>
      <c r="L19" s="42"/>
      <c r="M19" s="42"/>
      <c r="N19" s="42"/>
      <c r="O19" s="42"/>
      <c r="P19" s="42"/>
    </row>
    <row r="20" spans="1:16">
      <c r="A20" s="42" t="s">
        <v>11</v>
      </c>
      <c r="B20" s="42" t="s">
        <v>1388</v>
      </c>
      <c r="C20" s="42"/>
      <c r="D20" s="42"/>
      <c r="E20" s="42"/>
      <c r="F20" s="42"/>
      <c r="G20" s="42"/>
      <c r="H20" s="42"/>
      <c r="I20" s="42"/>
      <c r="J20" s="42"/>
      <c r="K20" s="42"/>
      <c r="L20" s="42"/>
      <c r="M20" s="42"/>
      <c r="N20" s="42"/>
      <c r="O20" s="42"/>
      <c r="P20" s="42"/>
    </row>
    <row r="21" spans="1:16">
      <c r="A21" s="42" t="s">
        <v>13</v>
      </c>
      <c r="B21" s="42" t="s">
        <v>58</v>
      </c>
      <c r="C21" s="42"/>
      <c r="D21" s="42"/>
      <c r="E21" s="42"/>
      <c r="F21" s="42"/>
      <c r="G21" s="42"/>
      <c r="H21" s="42"/>
      <c r="I21" s="42"/>
      <c r="J21" s="42"/>
      <c r="K21" s="42"/>
      <c r="L21" s="42"/>
      <c r="M21" s="42"/>
      <c r="N21" s="42"/>
      <c r="O21" s="42"/>
      <c r="P21" s="42"/>
    </row>
    <row r="22" spans="1:16">
      <c r="A22" s="42" t="s">
        <v>15</v>
      </c>
      <c r="B22" s="42">
        <v>1</v>
      </c>
      <c r="C22" s="42"/>
      <c r="D22" s="42"/>
      <c r="E22" s="42"/>
      <c r="F22" s="42"/>
      <c r="G22" s="42"/>
      <c r="H22" s="42"/>
      <c r="I22" s="42"/>
      <c r="J22" s="42"/>
      <c r="K22" s="42"/>
      <c r="L22" s="42"/>
      <c r="M22" s="42"/>
      <c r="N22" s="42"/>
      <c r="O22" s="42"/>
      <c r="P22" s="42"/>
    </row>
    <row r="23" spans="1:16">
      <c r="A23" s="42" t="s">
        <v>16</v>
      </c>
      <c r="B23" s="42" t="s">
        <v>17</v>
      </c>
      <c r="C23" s="42"/>
      <c r="D23" s="42"/>
      <c r="E23" s="42"/>
      <c r="F23" s="42"/>
      <c r="G23" s="42"/>
      <c r="H23" s="42"/>
      <c r="I23" s="42"/>
      <c r="J23" s="42"/>
      <c r="K23" s="42"/>
      <c r="L23" s="42"/>
      <c r="M23" s="42"/>
      <c r="N23" s="42"/>
      <c r="O23" s="42"/>
      <c r="P23" s="42"/>
    </row>
    <row r="24" spans="1:16" ht="15.75">
      <c r="A24" s="42" t="s">
        <v>18</v>
      </c>
      <c r="B24" s="44" t="s">
        <v>37</v>
      </c>
      <c r="C24" s="42"/>
      <c r="D24" s="42"/>
      <c r="E24" s="42" t="s">
        <v>197</v>
      </c>
      <c r="F24" s="42"/>
      <c r="G24" s="42"/>
      <c r="H24" s="42"/>
      <c r="I24" s="42"/>
      <c r="J24" s="42"/>
      <c r="K24" s="42"/>
      <c r="L24" s="42"/>
      <c r="M24" s="42"/>
      <c r="N24" s="42"/>
      <c r="O24" s="42"/>
      <c r="P24" s="42"/>
    </row>
    <row r="25" spans="1:16" ht="15.75">
      <c r="A25" s="45" t="s">
        <v>19</v>
      </c>
      <c r="B25" s="42"/>
      <c r="C25" s="42"/>
      <c r="D25" s="42"/>
      <c r="E25" s="42"/>
      <c r="F25" s="42"/>
      <c r="G25" s="42"/>
      <c r="H25" s="42"/>
      <c r="I25" s="42"/>
      <c r="J25" s="42"/>
      <c r="K25" s="42"/>
      <c r="L25" s="42"/>
      <c r="M25" s="42"/>
      <c r="N25" s="42"/>
      <c r="O25" s="42"/>
      <c r="P25" s="42"/>
    </row>
    <row r="26" spans="1:16" ht="15.75">
      <c r="A26" s="45" t="s">
        <v>20</v>
      </c>
      <c r="B26" s="45" t="s">
        <v>21</v>
      </c>
      <c r="C26" s="45" t="s">
        <v>198</v>
      </c>
      <c r="D26" s="45" t="s">
        <v>18</v>
      </c>
      <c r="E26" s="45" t="s">
        <v>22</v>
      </c>
      <c r="F26" s="45" t="s">
        <v>7</v>
      </c>
      <c r="G26" s="45" t="s">
        <v>13</v>
      </c>
      <c r="H26" s="45" t="s">
        <v>16</v>
      </c>
      <c r="I26" s="45" t="s">
        <v>23</v>
      </c>
      <c r="J26" s="45" t="s">
        <v>24</v>
      </c>
      <c r="K26" s="45" t="s">
        <v>25</v>
      </c>
      <c r="L26" s="45" t="s">
        <v>26</v>
      </c>
      <c r="M26" s="45" t="s">
        <v>27</v>
      </c>
      <c r="N26" s="45" t="s">
        <v>28</v>
      </c>
      <c r="O26" s="45" t="s">
        <v>11</v>
      </c>
      <c r="P26" s="45" t="s">
        <v>199</v>
      </c>
    </row>
    <row r="27" spans="1:16" ht="15.75">
      <c r="A27" s="44" t="str">
        <f>B17</f>
        <v>treatment of CFRP, wing, airframe, PEMFC-bat, Medium-Term</v>
      </c>
      <c r="B27" s="44">
        <v>1</v>
      </c>
      <c r="C27" s="44"/>
      <c r="D27" s="44" t="s">
        <v>37</v>
      </c>
      <c r="E27" s="42" t="s">
        <v>2</v>
      </c>
      <c r="F27" s="42" t="s">
        <v>1389</v>
      </c>
      <c r="G27" s="44" t="s">
        <v>58</v>
      </c>
      <c r="H27" s="42" t="s">
        <v>30</v>
      </c>
      <c r="I27" s="42">
        <v>0</v>
      </c>
      <c r="J27" s="44" t="s">
        <v>31</v>
      </c>
      <c r="K27" s="44" t="s">
        <v>31</v>
      </c>
      <c r="L27" s="44" t="s">
        <v>31</v>
      </c>
      <c r="M27" s="44" t="s">
        <v>31</v>
      </c>
      <c r="N27" s="44" t="s">
        <v>31</v>
      </c>
      <c r="O27" s="44" t="s">
        <v>1394</v>
      </c>
      <c r="P27" s="42"/>
    </row>
    <row r="28" spans="1:16" ht="15.75">
      <c r="A28" s="47" t="s">
        <v>567</v>
      </c>
      <c r="B28">
        <v>-0.5</v>
      </c>
      <c r="D28" t="s">
        <v>37</v>
      </c>
      <c r="E28" s="46" t="s">
        <v>40</v>
      </c>
      <c r="F28" s="42" t="s">
        <v>1389</v>
      </c>
      <c r="G28" t="s">
        <v>128</v>
      </c>
      <c r="H28" t="s">
        <v>33</v>
      </c>
      <c r="I28" s="42">
        <v>0</v>
      </c>
      <c r="J28" s="44" t="s">
        <v>31</v>
      </c>
      <c r="K28" s="44" t="s">
        <v>31</v>
      </c>
      <c r="L28" s="44" t="s">
        <v>31</v>
      </c>
      <c r="M28" s="44" t="s">
        <v>31</v>
      </c>
      <c r="N28" s="44" t="s">
        <v>31</v>
      </c>
      <c r="O28" s="44" t="s">
        <v>1308</v>
      </c>
      <c r="P28" s="44" t="s">
        <v>1359</v>
      </c>
    </row>
    <row r="29" spans="1:16" ht="15.75">
      <c r="A29" t="s">
        <v>38</v>
      </c>
      <c r="B29">
        <f>B30*0.277777777</f>
        <v>2.415277771015</v>
      </c>
      <c r="D29" t="s">
        <v>39</v>
      </c>
      <c r="E29" s="46" t="s">
        <v>40</v>
      </c>
      <c r="F29" s="42" t="s">
        <v>1389</v>
      </c>
      <c r="G29" t="s">
        <v>58</v>
      </c>
      <c r="H29" s="42" t="s">
        <v>243</v>
      </c>
      <c r="I29" s="42">
        <v>0</v>
      </c>
      <c r="J29" s="44" t="s">
        <v>31</v>
      </c>
      <c r="K29" s="44" t="s">
        <v>31</v>
      </c>
      <c r="L29" s="44" t="s">
        <v>31</v>
      </c>
      <c r="M29" s="44" t="s">
        <v>31</v>
      </c>
      <c r="N29" s="44" t="s">
        <v>31</v>
      </c>
      <c r="O29" t="s">
        <v>1360</v>
      </c>
    </row>
    <row r="30" spans="1:16" ht="15.75">
      <c r="A30" t="s">
        <v>220</v>
      </c>
      <c r="B30">
        <f>-B28*0.5*34.78</f>
        <v>8.6950000000000003</v>
      </c>
      <c r="D30" t="s">
        <v>170</v>
      </c>
      <c r="E30" s="46" t="s">
        <v>40</v>
      </c>
      <c r="F30" s="42" t="s">
        <v>1389</v>
      </c>
      <c r="G30" t="s">
        <v>58</v>
      </c>
      <c r="H30" s="42" t="s">
        <v>243</v>
      </c>
      <c r="I30" s="42">
        <v>0</v>
      </c>
      <c r="J30" s="44" t="s">
        <v>31</v>
      </c>
      <c r="K30" s="44" t="s">
        <v>31</v>
      </c>
      <c r="L30" s="44" t="s">
        <v>31</v>
      </c>
      <c r="M30" s="44" t="s">
        <v>31</v>
      </c>
      <c r="N30" s="44" t="s">
        <v>31</v>
      </c>
      <c r="O30" t="s">
        <v>1395</v>
      </c>
    </row>
    <row r="31" spans="1:16" ht="15.75">
      <c r="A31" s="47" t="s">
        <v>1362</v>
      </c>
      <c r="B31">
        <v>-0.5</v>
      </c>
      <c r="D31" t="s">
        <v>37</v>
      </c>
      <c r="E31" s="46" t="s">
        <v>40</v>
      </c>
      <c r="F31" s="42" t="s">
        <v>1389</v>
      </c>
      <c r="G31" t="s">
        <v>128</v>
      </c>
      <c r="H31" s="42" t="s">
        <v>33</v>
      </c>
      <c r="I31" s="42">
        <v>0</v>
      </c>
      <c r="J31" s="44" t="s">
        <v>31</v>
      </c>
      <c r="K31" s="44" t="s">
        <v>31</v>
      </c>
      <c r="L31" s="44" t="s">
        <v>31</v>
      </c>
      <c r="M31" s="44" t="s">
        <v>31</v>
      </c>
      <c r="N31" s="44" t="s">
        <v>31</v>
      </c>
      <c r="O31" s="44" t="s">
        <v>1363</v>
      </c>
    </row>
    <row r="32" spans="1:16" s="41" customFormat="1" ht="15.75">
      <c r="A32" s="38" t="s">
        <v>5</v>
      </c>
      <c r="B32" s="38" t="s">
        <v>1396</v>
      </c>
      <c r="C32" s="38"/>
      <c r="D32" s="39"/>
      <c r="E32" s="40"/>
      <c r="F32" s="40"/>
      <c r="G32" s="40"/>
      <c r="H32" s="40"/>
      <c r="I32" s="40"/>
      <c r="J32" s="40"/>
      <c r="K32" s="40"/>
      <c r="L32" s="40"/>
      <c r="M32" s="40"/>
      <c r="N32" s="40"/>
      <c r="O32" s="40"/>
      <c r="P32" s="40"/>
    </row>
    <row r="33" spans="1:16">
      <c r="A33" s="42" t="s">
        <v>7</v>
      </c>
      <c r="B33" s="42" t="s">
        <v>1349</v>
      </c>
      <c r="C33" s="42"/>
      <c r="D33" s="42"/>
      <c r="E33" s="42"/>
      <c r="F33" s="42"/>
      <c r="G33" s="42"/>
      <c r="H33" s="42"/>
      <c r="I33" s="42"/>
      <c r="J33" s="42"/>
      <c r="K33" s="42"/>
      <c r="L33" s="42"/>
      <c r="M33" s="42"/>
      <c r="N33" s="42"/>
      <c r="O33" s="42"/>
      <c r="P33" s="42"/>
    </row>
    <row r="34" spans="1:16">
      <c r="A34" s="42" t="s">
        <v>9</v>
      </c>
      <c r="B34" s="43" t="s">
        <v>1397</v>
      </c>
      <c r="C34" s="42"/>
      <c r="D34" s="42"/>
      <c r="E34" s="42"/>
      <c r="F34" s="42"/>
      <c r="G34" s="42"/>
      <c r="H34" s="42"/>
      <c r="I34" s="42"/>
      <c r="J34" s="42"/>
      <c r="K34" s="42"/>
      <c r="L34" s="42"/>
      <c r="M34" s="42"/>
      <c r="N34" s="42"/>
      <c r="O34" s="42"/>
      <c r="P34" s="42"/>
    </row>
    <row r="35" spans="1:16">
      <c r="A35" s="42" t="s">
        <v>11</v>
      </c>
      <c r="B35" s="42" t="s">
        <v>1388</v>
      </c>
      <c r="C35" s="42"/>
      <c r="D35" s="42"/>
      <c r="E35" s="42"/>
      <c r="F35" s="42"/>
      <c r="G35" s="42"/>
      <c r="H35" s="42"/>
      <c r="I35" s="42"/>
      <c r="J35" s="42"/>
      <c r="K35" s="42"/>
      <c r="L35" s="42"/>
      <c r="M35" s="42"/>
      <c r="N35" s="42"/>
      <c r="O35" s="42"/>
      <c r="P35" s="42"/>
    </row>
    <row r="36" spans="1:16">
      <c r="A36" s="42" t="s">
        <v>13</v>
      </c>
      <c r="B36" s="42" t="s">
        <v>58</v>
      </c>
      <c r="C36" s="42"/>
      <c r="D36" s="42"/>
      <c r="E36" s="42"/>
      <c r="F36" s="42"/>
      <c r="G36" s="42"/>
      <c r="H36" s="42"/>
      <c r="I36" s="42"/>
      <c r="J36" s="42"/>
      <c r="K36" s="42"/>
      <c r="L36" s="42"/>
      <c r="M36" s="42"/>
      <c r="N36" s="42"/>
      <c r="O36" s="42"/>
      <c r="P36" s="42"/>
    </row>
    <row r="37" spans="1:16">
      <c r="A37" s="42" t="s">
        <v>15</v>
      </c>
      <c r="B37" s="42">
        <v>1</v>
      </c>
      <c r="C37" s="42"/>
      <c r="D37" s="42"/>
      <c r="E37" s="42"/>
      <c r="F37" s="42"/>
      <c r="G37" s="42"/>
      <c r="H37" s="42"/>
      <c r="I37" s="42"/>
      <c r="J37" s="42"/>
      <c r="K37" s="42"/>
      <c r="L37" s="42"/>
      <c r="M37" s="42"/>
      <c r="N37" s="42"/>
      <c r="O37" s="42"/>
      <c r="P37" s="42"/>
    </row>
    <row r="38" spans="1:16">
      <c r="A38" s="42" t="s">
        <v>16</v>
      </c>
      <c r="B38" s="42" t="s">
        <v>17</v>
      </c>
      <c r="C38" s="42"/>
      <c r="D38" s="42"/>
      <c r="E38" s="42"/>
      <c r="F38" s="42"/>
      <c r="G38" s="42"/>
      <c r="H38" s="42"/>
      <c r="I38" s="42"/>
      <c r="J38" s="42"/>
      <c r="K38" s="42"/>
      <c r="L38" s="42"/>
      <c r="M38" s="42"/>
      <c r="N38" s="42"/>
      <c r="O38" s="42"/>
      <c r="P38" s="42"/>
    </row>
    <row r="39" spans="1:16" ht="15.75">
      <c r="A39" s="42" t="s">
        <v>18</v>
      </c>
      <c r="B39" s="44" t="s">
        <v>37</v>
      </c>
      <c r="C39" s="42"/>
      <c r="D39" s="42"/>
      <c r="E39" s="42" t="s">
        <v>197</v>
      </c>
      <c r="F39" s="42"/>
      <c r="G39" s="42"/>
      <c r="H39" s="42"/>
      <c r="I39" s="42"/>
      <c r="J39" s="42"/>
      <c r="K39" s="42"/>
      <c r="L39" s="42"/>
      <c r="M39" s="42"/>
      <c r="N39" s="42"/>
      <c r="O39" s="42"/>
      <c r="P39" s="42"/>
    </row>
    <row r="40" spans="1:16" ht="15.75">
      <c r="A40" s="45" t="s">
        <v>19</v>
      </c>
      <c r="B40" s="42"/>
      <c r="C40" s="42"/>
      <c r="D40" s="42"/>
      <c r="E40" s="42"/>
      <c r="F40" s="42"/>
      <c r="G40" s="42"/>
      <c r="H40" s="42"/>
      <c r="I40" s="42"/>
      <c r="J40" s="42"/>
      <c r="K40" s="42"/>
      <c r="L40" s="42"/>
      <c r="M40" s="42"/>
      <c r="N40" s="42"/>
      <c r="O40" s="42"/>
      <c r="P40" s="42"/>
    </row>
    <row r="41" spans="1:16" ht="15.75">
      <c r="A41" s="45" t="s">
        <v>20</v>
      </c>
      <c r="B41" s="45" t="s">
        <v>21</v>
      </c>
      <c r="C41" s="45" t="s">
        <v>198</v>
      </c>
      <c r="D41" s="45" t="s">
        <v>18</v>
      </c>
      <c r="E41" s="45" t="s">
        <v>22</v>
      </c>
      <c r="F41" s="45" t="s">
        <v>7</v>
      </c>
      <c r="G41" s="45" t="s">
        <v>13</v>
      </c>
      <c r="H41" s="45" t="s">
        <v>16</v>
      </c>
      <c r="I41" s="45" t="s">
        <v>23</v>
      </c>
      <c r="J41" s="45" t="s">
        <v>24</v>
      </c>
      <c r="K41" s="45" t="s">
        <v>25</v>
      </c>
      <c r="L41" s="45" t="s">
        <v>26</v>
      </c>
      <c r="M41" s="45" t="s">
        <v>27</v>
      </c>
      <c r="N41" s="45" t="s">
        <v>28</v>
      </c>
      <c r="O41" s="45" t="s">
        <v>11</v>
      </c>
      <c r="P41" s="45" t="s">
        <v>199</v>
      </c>
    </row>
    <row r="42" spans="1:16" ht="15.75">
      <c r="A42" s="44" t="str">
        <f>B32</f>
        <v>treatment of steel, wing, airframe, PEMFC-bat, Medium-Term</v>
      </c>
      <c r="B42" s="44">
        <v>1</v>
      </c>
      <c r="C42" s="44"/>
      <c r="D42" s="44" t="s">
        <v>37</v>
      </c>
      <c r="E42" s="42" t="s">
        <v>2</v>
      </c>
      <c r="F42" s="42" t="s">
        <v>1389</v>
      </c>
      <c r="G42" s="44" t="s">
        <v>58</v>
      </c>
      <c r="H42" s="42" t="s">
        <v>30</v>
      </c>
      <c r="I42" s="42">
        <v>0</v>
      </c>
      <c r="J42" s="44" t="s">
        <v>31</v>
      </c>
      <c r="K42" s="44" t="s">
        <v>31</v>
      </c>
      <c r="L42" s="44" t="s">
        <v>31</v>
      </c>
      <c r="M42" s="44" t="s">
        <v>31</v>
      </c>
      <c r="N42" s="44" t="s">
        <v>31</v>
      </c>
      <c r="O42" s="44" t="s">
        <v>1398</v>
      </c>
      <c r="P42" s="42"/>
    </row>
    <row r="43" spans="1:16" ht="15.75">
      <c r="A43" t="s">
        <v>240</v>
      </c>
      <c r="B43" s="23">
        <v>0.75</v>
      </c>
      <c r="C43" s="44"/>
      <c r="D43" s="44" t="s">
        <v>37</v>
      </c>
      <c r="E43" s="47" t="s">
        <v>40</v>
      </c>
      <c r="F43" s="42" t="s">
        <v>1389</v>
      </c>
      <c r="G43" s="44" t="s">
        <v>128</v>
      </c>
      <c r="H43" s="42" t="s">
        <v>33</v>
      </c>
      <c r="I43" s="42">
        <v>0</v>
      </c>
      <c r="J43" s="44" t="s">
        <v>31</v>
      </c>
      <c r="K43" s="44" t="s">
        <v>31</v>
      </c>
      <c r="L43" s="44" t="s">
        <v>31</v>
      </c>
      <c r="M43" s="44" t="s">
        <v>31</v>
      </c>
      <c r="N43" s="44" t="s">
        <v>31</v>
      </c>
      <c r="O43" s="42"/>
      <c r="P43" s="42"/>
    </row>
    <row r="44" spans="1:16" ht="15.75">
      <c r="A44" t="s">
        <v>704</v>
      </c>
      <c r="B44" s="23">
        <f>0.9*B43</f>
        <v>0.67500000000000004</v>
      </c>
      <c r="C44" s="44"/>
      <c r="D44" s="44" t="s">
        <v>37</v>
      </c>
      <c r="E44" s="47" t="s">
        <v>40</v>
      </c>
      <c r="F44" s="42" t="s">
        <v>1389</v>
      </c>
      <c r="G44" s="44" t="s">
        <v>58</v>
      </c>
      <c r="H44" s="42" t="s">
        <v>243</v>
      </c>
      <c r="I44" s="42">
        <v>0</v>
      </c>
      <c r="J44" s="44" t="s">
        <v>31</v>
      </c>
      <c r="K44" s="44" t="s">
        <v>31</v>
      </c>
      <c r="L44" s="44" t="s">
        <v>31</v>
      </c>
      <c r="M44" s="44" t="s">
        <v>31</v>
      </c>
      <c r="N44" s="44" t="s">
        <v>31</v>
      </c>
      <c r="O44" s="42"/>
      <c r="P44" s="42" t="s">
        <v>1301</v>
      </c>
    </row>
    <row r="45" spans="1:16" ht="16.5" customHeight="1">
      <c r="A45" t="s">
        <v>380</v>
      </c>
      <c r="B45" s="23">
        <f>-(1-B44)</f>
        <v>-0.32499999999999996</v>
      </c>
      <c r="D45" t="s">
        <v>37</v>
      </c>
      <c r="E45" s="47" t="s">
        <v>40</v>
      </c>
      <c r="F45" s="42" t="s">
        <v>1389</v>
      </c>
      <c r="G45" t="s">
        <v>58</v>
      </c>
      <c r="H45" t="s">
        <v>33</v>
      </c>
      <c r="I45">
        <v>0</v>
      </c>
      <c r="J45" t="s">
        <v>31</v>
      </c>
      <c r="K45" t="s">
        <v>31</v>
      </c>
      <c r="L45" t="s">
        <v>31</v>
      </c>
      <c r="M45" t="s">
        <v>31</v>
      </c>
      <c r="N45" t="s">
        <v>31</v>
      </c>
      <c r="O45" s="17"/>
      <c r="P45" s="42" t="s">
        <v>1399</v>
      </c>
    </row>
    <row r="46" spans="1:16" s="41" customFormat="1" ht="15.75">
      <c r="A46" s="38" t="s">
        <v>5</v>
      </c>
      <c r="B46" s="38" t="s">
        <v>1400</v>
      </c>
      <c r="C46" s="38"/>
      <c r="D46" s="39"/>
      <c r="E46" s="40"/>
      <c r="F46" s="40"/>
      <c r="G46" s="40"/>
      <c r="H46" s="40"/>
      <c r="I46" s="40"/>
      <c r="J46" s="40"/>
      <c r="K46" s="40"/>
      <c r="L46" s="40"/>
      <c r="M46" s="40"/>
      <c r="N46" s="40"/>
      <c r="O46" s="40"/>
      <c r="P46" s="40"/>
    </row>
    <row r="47" spans="1:16">
      <c r="A47" s="42" t="s">
        <v>7</v>
      </c>
      <c r="B47" s="42" t="s">
        <v>1349</v>
      </c>
      <c r="C47" s="42"/>
      <c r="D47" s="42"/>
      <c r="E47" s="42"/>
      <c r="F47" s="42"/>
      <c r="G47" s="42"/>
      <c r="H47" s="42"/>
      <c r="I47" s="42"/>
      <c r="J47" s="42"/>
      <c r="K47" s="42"/>
      <c r="L47" s="42"/>
      <c r="M47" s="42"/>
      <c r="N47" s="42"/>
      <c r="O47" s="42"/>
      <c r="P47" s="42"/>
    </row>
    <row r="48" spans="1:16">
      <c r="A48" s="42" t="s">
        <v>9</v>
      </c>
      <c r="B48" s="43" t="s">
        <v>1401</v>
      </c>
      <c r="C48" s="42"/>
      <c r="D48" s="42"/>
      <c r="E48" s="42"/>
      <c r="F48" s="42"/>
      <c r="G48" s="42"/>
      <c r="H48" s="42"/>
      <c r="I48" s="42"/>
      <c r="J48" s="42"/>
      <c r="K48" s="42"/>
      <c r="L48" s="42"/>
      <c r="M48" s="42"/>
      <c r="N48" s="42"/>
      <c r="O48" s="42"/>
      <c r="P48" s="42"/>
    </row>
    <row r="49" spans="1:22">
      <c r="A49" s="42" t="s">
        <v>11</v>
      </c>
      <c r="B49" s="42" t="s">
        <v>1388</v>
      </c>
      <c r="C49" s="42"/>
      <c r="D49" s="42"/>
      <c r="E49" s="42"/>
      <c r="F49" s="42"/>
      <c r="G49" s="42"/>
      <c r="H49" s="42"/>
      <c r="I49" s="42"/>
      <c r="J49" s="42"/>
      <c r="K49" s="42"/>
      <c r="L49" s="42"/>
      <c r="M49" s="42"/>
      <c r="N49" s="42"/>
      <c r="O49" s="42"/>
      <c r="P49" s="42"/>
    </row>
    <row r="50" spans="1:22">
      <c r="A50" s="42" t="s">
        <v>13</v>
      </c>
      <c r="B50" s="42" t="s">
        <v>58</v>
      </c>
      <c r="C50" s="42"/>
      <c r="D50" s="42"/>
      <c r="E50" s="42"/>
      <c r="F50" s="42"/>
      <c r="G50" s="42"/>
      <c r="H50" s="42"/>
      <c r="I50" s="42"/>
      <c r="J50" s="42"/>
      <c r="K50" s="42"/>
      <c r="L50" s="42"/>
      <c r="M50" s="42"/>
      <c r="N50" s="42"/>
      <c r="O50" s="42"/>
      <c r="P50" s="42"/>
    </row>
    <row r="51" spans="1:22">
      <c r="A51" s="42" t="s">
        <v>15</v>
      </c>
      <c r="B51" s="42">
        <v>1</v>
      </c>
      <c r="C51" s="42"/>
      <c r="D51" s="42"/>
      <c r="E51" s="42"/>
      <c r="F51" s="42"/>
      <c r="G51" s="42"/>
      <c r="H51" s="42"/>
      <c r="I51" s="42"/>
      <c r="J51" s="42"/>
      <c r="K51" s="42"/>
      <c r="L51" s="42"/>
      <c r="M51" s="42"/>
      <c r="N51" s="42"/>
      <c r="O51" s="42"/>
      <c r="P51" s="42"/>
    </row>
    <row r="52" spans="1:22">
      <c r="A52" s="42" t="s">
        <v>16</v>
      </c>
      <c r="B52" s="42" t="s">
        <v>17</v>
      </c>
      <c r="C52" s="42"/>
      <c r="D52" s="42"/>
      <c r="E52" s="42"/>
      <c r="F52" s="42"/>
      <c r="G52" s="42"/>
      <c r="H52" s="42"/>
      <c r="I52" s="42"/>
      <c r="J52" s="42"/>
      <c r="K52" s="42"/>
      <c r="L52" s="42"/>
      <c r="M52" s="42"/>
      <c r="N52" s="42"/>
      <c r="O52" s="42"/>
      <c r="P52" s="42"/>
    </row>
    <row r="53" spans="1:22" ht="15.75">
      <c r="A53" s="42" t="s">
        <v>18</v>
      </c>
      <c r="B53" s="44" t="s">
        <v>37</v>
      </c>
      <c r="C53" s="42"/>
      <c r="D53" s="42"/>
      <c r="E53" s="42" t="s">
        <v>197</v>
      </c>
      <c r="F53" s="42"/>
      <c r="G53" s="42"/>
      <c r="H53" s="42"/>
      <c r="I53" s="42"/>
      <c r="J53" s="42"/>
      <c r="K53" s="42"/>
      <c r="L53" s="42"/>
      <c r="M53" s="42"/>
      <c r="N53" s="42"/>
      <c r="O53" s="42"/>
      <c r="P53" s="42"/>
    </row>
    <row r="54" spans="1:22" ht="15.75">
      <c r="A54" s="45" t="s">
        <v>19</v>
      </c>
      <c r="B54" s="42"/>
      <c r="C54" s="42"/>
      <c r="D54" s="42"/>
      <c r="E54" s="42"/>
      <c r="F54" s="42"/>
      <c r="G54" s="42"/>
      <c r="H54" s="42"/>
      <c r="I54" s="42"/>
      <c r="J54" s="42"/>
      <c r="K54" s="42"/>
      <c r="L54" s="42"/>
      <c r="M54" s="42"/>
      <c r="N54" s="42"/>
      <c r="O54" s="42"/>
      <c r="P54" s="42"/>
    </row>
    <row r="55" spans="1:22" ht="15.75">
      <c r="A55" s="45" t="s">
        <v>20</v>
      </c>
      <c r="B55" s="45" t="s">
        <v>21</v>
      </c>
      <c r="C55" s="45" t="s">
        <v>198</v>
      </c>
      <c r="D55" s="45" t="s">
        <v>18</v>
      </c>
      <c r="E55" s="45" t="s">
        <v>22</v>
      </c>
      <c r="F55" s="45" t="s">
        <v>7</v>
      </c>
      <c r="G55" s="45" t="s">
        <v>13</v>
      </c>
      <c r="H55" s="45" t="s">
        <v>16</v>
      </c>
      <c r="I55" s="45" t="s">
        <v>23</v>
      </c>
      <c r="J55" s="45" t="s">
        <v>24</v>
      </c>
      <c r="K55" s="45" t="s">
        <v>25</v>
      </c>
      <c r="L55" s="45" t="s">
        <v>26</v>
      </c>
      <c r="M55" s="45" t="s">
        <v>27</v>
      </c>
      <c r="N55" s="45" t="s">
        <v>28</v>
      </c>
      <c r="O55" s="45" t="s">
        <v>11</v>
      </c>
      <c r="P55" s="45" t="s">
        <v>199</v>
      </c>
    </row>
    <row r="56" spans="1:22" ht="15.75">
      <c r="A56" s="44" t="str">
        <f>B46</f>
        <v>treatment of titanium, wing, airframe, PEMFC-bat, Medium-Term</v>
      </c>
      <c r="B56" s="44">
        <v>1</v>
      </c>
      <c r="C56" s="44"/>
      <c r="D56" s="44" t="s">
        <v>37</v>
      </c>
      <c r="E56" s="42" t="s">
        <v>2</v>
      </c>
      <c r="F56" s="42" t="s">
        <v>1389</v>
      </c>
      <c r="G56" s="44" t="s">
        <v>58</v>
      </c>
      <c r="H56" s="42" t="s">
        <v>30</v>
      </c>
      <c r="I56" s="42">
        <v>0</v>
      </c>
      <c r="J56" s="44" t="s">
        <v>31</v>
      </c>
      <c r="K56" s="44" t="s">
        <v>31</v>
      </c>
      <c r="L56" s="44" t="s">
        <v>31</v>
      </c>
      <c r="M56" s="44" t="s">
        <v>31</v>
      </c>
      <c r="N56" s="44" t="s">
        <v>31</v>
      </c>
      <c r="O56" s="44" t="s">
        <v>1398</v>
      </c>
      <c r="P56" s="42"/>
    </row>
    <row r="57" spans="1:22">
      <c r="A57" t="s">
        <v>75</v>
      </c>
      <c r="B57">
        <f>U57</f>
        <v>9.5000076</v>
      </c>
      <c r="D57" t="s">
        <v>39</v>
      </c>
      <c r="E57" t="s">
        <v>40</v>
      </c>
      <c r="F57" s="42" t="s">
        <v>1389</v>
      </c>
      <c r="G57" t="s">
        <v>58</v>
      </c>
      <c r="H57" t="s">
        <v>33</v>
      </c>
      <c r="I57">
        <v>2</v>
      </c>
      <c r="J57">
        <v>9.398101209</v>
      </c>
      <c r="K57">
        <v>0.30331501799999999</v>
      </c>
      <c r="L57" t="s">
        <v>31</v>
      </c>
      <c r="M57" t="s">
        <v>31</v>
      </c>
      <c r="N57" t="s">
        <v>31</v>
      </c>
      <c r="O57" t="s">
        <v>241</v>
      </c>
      <c r="P57" t="s">
        <v>1352</v>
      </c>
      <c r="Q57" s="22" t="s">
        <v>1402</v>
      </c>
      <c r="S57" s="22">
        <f>114*0.6*0.5</f>
        <v>34.199999999999996</v>
      </c>
      <c r="T57" s="22" t="s">
        <v>218</v>
      </c>
      <c r="U57" s="22">
        <f>S57*0.277778</f>
        <v>9.5000076</v>
      </c>
      <c r="V57" s="22" t="s">
        <v>216</v>
      </c>
    </row>
    <row r="58" spans="1:22">
      <c r="A58" t="s">
        <v>77</v>
      </c>
      <c r="B58">
        <f>U58</f>
        <v>0.59530026109660583</v>
      </c>
      <c r="D58" t="s">
        <v>42</v>
      </c>
      <c r="E58" t="s">
        <v>40</v>
      </c>
      <c r="F58" s="42" t="s">
        <v>1389</v>
      </c>
      <c r="G58" t="s">
        <v>217</v>
      </c>
      <c r="H58" t="s">
        <v>33</v>
      </c>
      <c r="I58">
        <v>2</v>
      </c>
      <c r="J58">
        <v>6.6281192500000001</v>
      </c>
      <c r="K58">
        <v>0.30331501799999999</v>
      </c>
      <c r="L58" t="s">
        <v>31</v>
      </c>
      <c r="M58" t="s">
        <v>31</v>
      </c>
      <c r="N58" t="s">
        <v>31</v>
      </c>
      <c r="O58" t="s">
        <v>241</v>
      </c>
      <c r="P58" t="s">
        <v>1352</v>
      </c>
      <c r="Q58" s="22" t="s">
        <v>1403</v>
      </c>
      <c r="S58" s="22">
        <f>114*0.4*0.5</f>
        <v>22.8</v>
      </c>
      <c r="T58" s="22" t="s">
        <v>218</v>
      </c>
      <c r="U58" s="22">
        <f>S58/38.3</f>
        <v>0.59530026109660583</v>
      </c>
      <c r="V58" s="22" t="s">
        <v>219</v>
      </c>
    </row>
    <row r="59" spans="1:22">
      <c r="A59" s="60" t="s">
        <v>1355</v>
      </c>
      <c r="B59" s="63">
        <f>S59</f>
        <v>0.5</v>
      </c>
      <c r="C59" s="63"/>
      <c r="D59" s="22" t="s">
        <v>37</v>
      </c>
      <c r="E59" s="22" t="s">
        <v>40</v>
      </c>
      <c r="F59" s="42" t="s">
        <v>1389</v>
      </c>
      <c r="G59" s="22" t="s">
        <v>58</v>
      </c>
      <c r="H59" s="22" t="s">
        <v>243</v>
      </c>
      <c r="I59" s="22">
        <v>2</v>
      </c>
      <c r="J59" s="22">
        <f t="shared" ref="J59" si="0">LN(B59)</f>
        <v>-0.69314718055994529</v>
      </c>
      <c r="K59" s="22">
        <v>0.30331501776206199</v>
      </c>
      <c r="L59" s="22" t="s">
        <v>31</v>
      </c>
      <c r="M59" s="22" t="s">
        <v>31</v>
      </c>
      <c r="N59" s="22" t="s">
        <v>31</v>
      </c>
      <c r="O59" s="22" t="s">
        <v>241</v>
      </c>
      <c r="P59" t="s">
        <v>1352</v>
      </c>
      <c r="Q59" s="22"/>
      <c r="R59" s="22"/>
      <c r="S59" s="22">
        <v>0.5</v>
      </c>
      <c r="T59" s="22" t="s">
        <v>221</v>
      </c>
    </row>
    <row r="60" spans="1:22" ht="15.75">
      <c r="A60" t="s">
        <v>380</v>
      </c>
      <c r="B60" s="23">
        <f>-0.5</f>
        <v>-0.5</v>
      </c>
      <c r="D60" t="s">
        <v>37</v>
      </c>
      <c r="E60" s="47" t="s">
        <v>40</v>
      </c>
      <c r="F60" s="42" t="s">
        <v>1389</v>
      </c>
      <c r="G60" t="s">
        <v>58</v>
      </c>
      <c r="H60" t="s">
        <v>33</v>
      </c>
      <c r="I60">
        <v>0</v>
      </c>
      <c r="J60" t="s">
        <v>31</v>
      </c>
      <c r="K60" t="s">
        <v>31</v>
      </c>
      <c r="L60" t="s">
        <v>31</v>
      </c>
      <c r="M60" t="s">
        <v>31</v>
      </c>
      <c r="N60" t="s">
        <v>31</v>
      </c>
      <c r="O60" s="17"/>
      <c r="P60" s="42" t="s">
        <v>1356</v>
      </c>
    </row>
    <row r="61" spans="1:22" s="41" customFormat="1" ht="15.75">
      <c r="A61" s="38" t="s">
        <v>5</v>
      </c>
      <c r="B61" s="38" t="s">
        <v>1404</v>
      </c>
      <c r="C61" s="38"/>
      <c r="D61" s="39"/>
      <c r="E61" s="40"/>
      <c r="F61" s="40"/>
      <c r="G61" s="40"/>
      <c r="H61" s="40"/>
      <c r="I61" s="40"/>
      <c r="J61" s="40"/>
      <c r="K61" s="40"/>
      <c r="L61" s="40"/>
      <c r="M61" s="40"/>
      <c r="N61" s="40"/>
      <c r="O61" s="40"/>
      <c r="P61" s="40"/>
    </row>
    <row r="62" spans="1:22">
      <c r="A62" s="42" t="s">
        <v>7</v>
      </c>
      <c r="B62" s="42" t="s">
        <v>1349</v>
      </c>
      <c r="C62" s="42"/>
      <c r="D62" s="42"/>
      <c r="E62" s="42"/>
      <c r="F62" s="42"/>
      <c r="G62" s="42"/>
      <c r="H62" s="42"/>
      <c r="I62" s="42"/>
      <c r="J62" s="42"/>
      <c r="K62" s="42"/>
      <c r="L62" s="42"/>
      <c r="M62" s="42"/>
      <c r="N62" s="42"/>
      <c r="O62" s="42"/>
      <c r="P62" s="42"/>
    </row>
    <row r="63" spans="1:22">
      <c r="A63" s="42" t="s">
        <v>9</v>
      </c>
      <c r="B63" s="43" t="s">
        <v>1405</v>
      </c>
      <c r="C63" s="42"/>
      <c r="D63" s="42"/>
      <c r="E63" s="42"/>
      <c r="F63" s="42"/>
      <c r="G63" s="42"/>
      <c r="H63" s="42"/>
      <c r="I63" s="42"/>
      <c r="J63" s="42"/>
      <c r="K63" s="42"/>
      <c r="L63" s="42"/>
      <c r="M63" s="42"/>
      <c r="N63" s="42"/>
      <c r="O63" s="42"/>
      <c r="P63" s="42"/>
    </row>
    <row r="64" spans="1:22">
      <c r="A64" s="42" t="s">
        <v>11</v>
      </c>
      <c r="B64" s="42" t="s">
        <v>1388</v>
      </c>
      <c r="C64" s="42"/>
      <c r="D64" s="42"/>
      <c r="E64" s="42"/>
      <c r="F64" s="42"/>
      <c r="G64" s="42"/>
      <c r="H64" s="42"/>
      <c r="I64" s="42"/>
      <c r="J64" s="42"/>
      <c r="K64" s="42"/>
      <c r="L64" s="42"/>
      <c r="M64" s="42"/>
      <c r="N64" s="42"/>
      <c r="O64" s="42"/>
      <c r="P64" s="42"/>
    </row>
    <row r="65" spans="1:16">
      <c r="A65" s="42" t="s">
        <v>13</v>
      </c>
      <c r="B65" s="42" t="s">
        <v>58</v>
      </c>
      <c r="C65" s="42"/>
      <c r="D65" s="42"/>
      <c r="E65" s="42"/>
      <c r="F65" s="42"/>
      <c r="G65" s="42"/>
      <c r="H65" s="42"/>
      <c r="I65" s="42"/>
      <c r="J65" s="42"/>
      <c r="K65" s="42"/>
      <c r="L65" s="42"/>
      <c r="M65" s="42"/>
      <c r="N65" s="42"/>
      <c r="O65" s="42"/>
      <c r="P65" s="42"/>
    </row>
    <row r="66" spans="1:16">
      <c r="A66" s="42" t="s">
        <v>15</v>
      </c>
      <c r="B66" s="42">
        <v>1</v>
      </c>
      <c r="C66" s="42"/>
      <c r="D66" s="42"/>
      <c r="E66" s="42"/>
      <c r="F66" s="42"/>
      <c r="G66" s="42"/>
      <c r="H66" s="42"/>
      <c r="I66" s="42"/>
      <c r="J66" s="42"/>
      <c r="K66" s="42"/>
      <c r="L66" s="42"/>
      <c r="M66" s="42"/>
      <c r="N66" s="42"/>
      <c r="O66" s="42"/>
      <c r="P66" s="42"/>
    </row>
    <row r="67" spans="1:16">
      <c r="A67" s="42" t="s">
        <v>16</v>
      </c>
      <c r="B67" s="42" t="s">
        <v>17</v>
      </c>
      <c r="C67" s="42"/>
      <c r="D67" s="42"/>
      <c r="E67" s="42"/>
      <c r="F67" s="42"/>
      <c r="G67" s="42"/>
      <c r="H67" s="42"/>
      <c r="I67" s="42"/>
      <c r="J67" s="42"/>
      <c r="K67" s="42"/>
      <c r="L67" s="42"/>
      <c r="M67" s="42"/>
      <c r="N67" s="42"/>
      <c r="O67" s="42"/>
      <c r="P67" s="42"/>
    </row>
    <row r="68" spans="1:16" ht="15.75">
      <c r="A68" s="42" t="s">
        <v>18</v>
      </c>
      <c r="B68" s="44" t="s">
        <v>37</v>
      </c>
      <c r="C68" s="42"/>
      <c r="D68" s="42"/>
      <c r="E68" s="42" t="s">
        <v>197</v>
      </c>
      <c r="F68" s="42"/>
      <c r="G68" s="42"/>
      <c r="H68" s="42"/>
      <c r="I68" s="42"/>
      <c r="J68" s="42"/>
      <c r="K68" s="42"/>
      <c r="L68" s="42"/>
      <c r="M68" s="42"/>
      <c r="N68" s="42"/>
      <c r="O68" s="42"/>
      <c r="P68" s="42"/>
    </row>
    <row r="69" spans="1:16" ht="15.75">
      <c r="A69" s="45" t="s">
        <v>19</v>
      </c>
      <c r="B69" s="42"/>
      <c r="C69" s="42"/>
      <c r="D69" s="42"/>
      <c r="E69" s="42"/>
      <c r="F69" s="42"/>
      <c r="G69" s="42"/>
      <c r="H69" s="42"/>
      <c r="I69" s="42"/>
      <c r="J69" s="42"/>
      <c r="K69" s="42"/>
      <c r="L69" s="42"/>
      <c r="M69" s="42"/>
      <c r="N69" s="42"/>
      <c r="O69" s="42"/>
      <c r="P69" s="42"/>
    </row>
    <row r="70" spans="1:16" ht="15.75">
      <c r="A70" s="45" t="s">
        <v>20</v>
      </c>
      <c r="B70" s="45" t="s">
        <v>21</v>
      </c>
      <c r="C70" s="45" t="s">
        <v>198</v>
      </c>
      <c r="D70" s="45" t="s">
        <v>18</v>
      </c>
      <c r="E70" s="45" t="s">
        <v>22</v>
      </c>
      <c r="F70" s="45" t="s">
        <v>7</v>
      </c>
      <c r="G70" s="45" t="s">
        <v>13</v>
      </c>
      <c r="H70" s="45" t="s">
        <v>16</v>
      </c>
      <c r="I70" s="45" t="s">
        <v>23</v>
      </c>
      <c r="J70" s="45" t="s">
        <v>24</v>
      </c>
      <c r="K70" s="45" t="s">
        <v>25</v>
      </c>
      <c r="L70" s="45" t="s">
        <v>26</v>
      </c>
      <c r="M70" s="45" t="s">
        <v>27</v>
      </c>
      <c r="N70" s="45" t="s">
        <v>28</v>
      </c>
      <c r="O70" s="45" t="s">
        <v>11</v>
      </c>
      <c r="P70" s="45" t="s">
        <v>199</v>
      </c>
    </row>
    <row r="71" spans="1:16" ht="15.75">
      <c r="A71" s="44" t="str">
        <f>B61</f>
        <v>treatment of aluminium, tail, airframe, PEMFC-bat, Medium-Term</v>
      </c>
      <c r="B71" s="44">
        <v>1</v>
      </c>
      <c r="C71" s="44"/>
      <c r="D71" s="44" t="s">
        <v>37</v>
      </c>
      <c r="E71" s="42" t="s">
        <v>2</v>
      </c>
      <c r="F71" s="42" t="s">
        <v>1389</v>
      </c>
      <c r="G71" s="44" t="s">
        <v>58</v>
      </c>
      <c r="H71" s="42" t="s">
        <v>30</v>
      </c>
      <c r="I71" s="42">
        <v>0</v>
      </c>
      <c r="J71" s="44" t="s">
        <v>31</v>
      </c>
      <c r="K71" s="44" t="s">
        <v>31</v>
      </c>
      <c r="L71" s="44" t="s">
        <v>31</v>
      </c>
      <c r="M71" s="44" t="s">
        <v>31</v>
      </c>
      <c r="N71" s="44" t="s">
        <v>31</v>
      </c>
      <c r="O71" s="44" t="s">
        <v>1406</v>
      </c>
      <c r="P71" s="42"/>
    </row>
    <row r="72" spans="1:16" ht="15.75">
      <c r="A72" t="s">
        <v>245</v>
      </c>
      <c r="B72" s="23">
        <v>0.64</v>
      </c>
      <c r="C72" s="44"/>
      <c r="D72" s="44" t="s">
        <v>37</v>
      </c>
      <c r="E72" s="32" t="s">
        <v>40</v>
      </c>
      <c r="F72" s="42" t="s">
        <v>1389</v>
      </c>
      <c r="G72" s="44" t="s">
        <v>128</v>
      </c>
      <c r="H72" s="42" t="s">
        <v>33</v>
      </c>
      <c r="I72" s="42">
        <v>0</v>
      </c>
      <c r="J72" s="44" t="s">
        <v>31</v>
      </c>
      <c r="K72" s="44" t="s">
        <v>31</v>
      </c>
      <c r="L72" s="44" t="s">
        <v>31</v>
      </c>
      <c r="M72" s="44" t="s">
        <v>31</v>
      </c>
      <c r="N72" s="44" t="s">
        <v>31</v>
      </c>
      <c r="O72" s="42"/>
      <c r="P72" s="42"/>
    </row>
    <row r="73" spans="1:16" ht="15.75">
      <c r="A73" t="s">
        <v>247</v>
      </c>
      <c r="B73" s="23">
        <v>0.64</v>
      </c>
      <c r="C73" s="22" t="s">
        <v>248</v>
      </c>
      <c r="D73" t="s">
        <v>37</v>
      </c>
      <c r="E73" s="46" t="s">
        <v>40</v>
      </c>
      <c r="F73" s="42" t="s">
        <v>1389</v>
      </c>
      <c r="G73" s="44" t="s">
        <v>128</v>
      </c>
      <c r="H73" s="42" t="s">
        <v>33</v>
      </c>
      <c r="I73" s="42">
        <v>0</v>
      </c>
      <c r="J73" s="44" t="s">
        <v>31</v>
      </c>
      <c r="K73" s="44" t="s">
        <v>31</v>
      </c>
      <c r="L73" s="44" t="s">
        <v>31</v>
      </c>
      <c r="M73" s="44" t="s">
        <v>31</v>
      </c>
      <c r="N73" s="44" t="s">
        <v>31</v>
      </c>
      <c r="O73" s="44" t="s">
        <v>1367</v>
      </c>
    </row>
    <row r="74" spans="1:16" ht="15.75">
      <c r="A74" t="s">
        <v>329</v>
      </c>
      <c r="B74" s="23">
        <f>B73*0.9</f>
        <v>0.57600000000000007</v>
      </c>
      <c r="D74" t="s">
        <v>37</v>
      </c>
      <c r="E74" s="46" t="s">
        <v>40</v>
      </c>
      <c r="F74" s="42" t="s">
        <v>1389</v>
      </c>
      <c r="G74" t="s">
        <v>58</v>
      </c>
      <c r="H74" s="42" t="s">
        <v>243</v>
      </c>
      <c r="I74" s="42">
        <v>0</v>
      </c>
      <c r="J74" s="44" t="s">
        <v>31</v>
      </c>
      <c r="K74" s="44" t="s">
        <v>31</v>
      </c>
      <c r="L74" s="44" t="s">
        <v>31</v>
      </c>
      <c r="M74" s="44" t="s">
        <v>31</v>
      </c>
      <c r="N74" s="44" t="s">
        <v>31</v>
      </c>
      <c r="O74" s="42"/>
      <c r="P74" s="44" t="s">
        <v>1391</v>
      </c>
    </row>
    <row r="75" spans="1:16" ht="15.75">
      <c r="A75" t="s">
        <v>380</v>
      </c>
      <c r="B75" s="23">
        <f>-(1-B74)</f>
        <v>-0.42399999999999993</v>
      </c>
      <c r="D75" t="s">
        <v>37</v>
      </c>
      <c r="E75" s="47" t="s">
        <v>40</v>
      </c>
      <c r="F75" s="42" t="s">
        <v>1389</v>
      </c>
      <c r="G75" t="s">
        <v>58</v>
      </c>
      <c r="H75" t="s">
        <v>33</v>
      </c>
      <c r="I75">
        <v>0</v>
      </c>
      <c r="J75" t="s">
        <v>31</v>
      </c>
      <c r="K75" t="s">
        <v>31</v>
      </c>
      <c r="L75" t="s">
        <v>31</v>
      </c>
      <c r="M75" t="s">
        <v>31</v>
      </c>
      <c r="N75" t="s">
        <v>31</v>
      </c>
      <c r="O75" s="17"/>
      <c r="P75" s="42"/>
    </row>
    <row r="76" spans="1:16" s="41" customFormat="1" ht="15.75">
      <c r="A76" s="38" t="s">
        <v>5</v>
      </c>
      <c r="B76" s="38" t="s">
        <v>1407</v>
      </c>
      <c r="C76" s="38"/>
      <c r="D76" s="39"/>
      <c r="E76" s="40"/>
      <c r="F76" s="40"/>
      <c r="G76" s="40"/>
      <c r="H76" s="40"/>
      <c r="I76" s="40"/>
      <c r="J76" s="40"/>
      <c r="K76" s="40"/>
      <c r="L76" s="40"/>
      <c r="M76" s="40"/>
      <c r="N76" s="40"/>
      <c r="O76" s="40"/>
      <c r="P76" s="40"/>
    </row>
    <row r="77" spans="1:16">
      <c r="A77" s="42" t="s">
        <v>7</v>
      </c>
      <c r="B77" s="42" t="s">
        <v>1349</v>
      </c>
      <c r="C77" s="42"/>
      <c r="D77" s="42"/>
      <c r="E77" s="42"/>
      <c r="F77" s="42"/>
      <c r="G77" s="42"/>
      <c r="H77" s="42"/>
      <c r="I77" s="42"/>
      <c r="J77" s="42"/>
      <c r="K77" s="42"/>
      <c r="L77" s="42"/>
      <c r="M77" s="42"/>
      <c r="N77" s="42"/>
      <c r="O77" s="42"/>
      <c r="P77" s="42"/>
    </row>
    <row r="78" spans="1:16">
      <c r="A78" s="42" t="s">
        <v>9</v>
      </c>
      <c r="B78" s="43" t="s">
        <v>1408</v>
      </c>
      <c r="C78" s="42"/>
      <c r="D78" s="42"/>
      <c r="E78" s="42"/>
      <c r="F78" s="42"/>
      <c r="G78" s="42"/>
      <c r="H78" s="42"/>
      <c r="I78" s="42"/>
      <c r="J78" s="42"/>
      <c r="K78" s="42"/>
      <c r="L78" s="42"/>
      <c r="M78" s="42"/>
      <c r="N78" s="42"/>
      <c r="O78" s="42"/>
      <c r="P78" s="42"/>
    </row>
    <row r="79" spans="1:16">
      <c r="A79" s="42" t="s">
        <v>11</v>
      </c>
      <c r="B79" s="42" t="s">
        <v>1409</v>
      </c>
      <c r="C79" s="42"/>
      <c r="D79" s="42"/>
      <c r="E79" s="42"/>
      <c r="F79" s="42"/>
      <c r="G79" s="42"/>
      <c r="H79" s="42"/>
      <c r="I79" s="42"/>
      <c r="J79" s="42"/>
      <c r="K79" s="42"/>
      <c r="L79" s="42"/>
      <c r="M79" s="42"/>
      <c r="N79" s="42"/>
      <c r="O79" s="42"/>
      <c r="P79" s="42"/>
    </row>
    <row r="80" spans="1:16">
      <c r="A80" s="42" t="s">
        <v>13</v>
      </c>
      <c r="B80" s="42" t="s">
        <v>58</v>
      </c>
      <c r="C80" s="42"/>
      <c r="D80" s="42"/>
      <c r="E80" s="42"/>
      <c r="F80" s="42"/>
      <c r="G80" s="42"/>
      <c r="H80" s="42"/>
      <c r="I80" s="42"/>
      <c r="J80" s="42"/>
      <c r="K80" s="42"/>
      <c r="L80" s="42"/>
      <c r="M80" s="42"/>
      <c r="N80" s="42"/>
      <c r="O80" s="42"/>
      <c r="P80" s="42"/>
    </row>
    <row r="81" spans="1:16">
      <c r="A81" s="42" t="s">
        <v>15</v>
      </c>
      <c r="B81" s="42">
        <v>1</v>
      </c>
      <c r="C81" s="42"/>
      <c r="D81" s="42"/>
      <c r="E81" s="42"/>
      <c r="F81" s="42"/>
      <c r="G81" s="42"/>
      <c r="H81" s="42"/>
      <c r="I81" s="42"/>
      <c r="J81" s="42"/>
      <c r="K81" s="42"/>
      <c r="L81" s="42"/>
      <c r="M81" s="42"/>
      <c r="N81" s="42"/>
      <c r="O81" s="42"/>
      <c r="P81" s="42"/>
    </row>
    <row r="82" spans="1:16">
      <c r="A82" s="42" t="s">
        <v>16</v>
      </c>
      <c r="B82" s="42" t="s">
        <v>17</v>
      </c>
      <c r="C82" s="42"/>
      <c r="D82" s="42"/>
      <c r="E82" s="42"/>
      <c r="F82" s="42"/>
      <c r="G82" s="42"/>
      <c r="H82" s="42"/>
      <c r="I82" s="42"/>
      <c r="J82" s="42"/>
      <c r="K82" s="42"/>
      <c r="L82" s="42"/>
      <c r="M82" s="42"/>
      <c r="N82" s="42"/>
      <c r="O82" s="42"/>
      <c r="P82" s="42"/>
    </row>
    <row r="83" spans="1:16" ht="15.75">
      <c r="A83" s="42" t="s">
        <v>18</v>
      </c>
      <c r="B83" s="44" t="s">
        <v>37</v>
      </c>
      <c r="C83" s="42"/>
      <c r="D83" s="42"/>
      <c r="E83" s="42" t="s">
        <v>197</v>
      </c>
      <c r="F83" s="42"/>
      <c r="G83" s="42"/>
      <c r="H83" s="42"/>
      <c r="I83" s="42"/>
      <c r="J83" s="42"/>
      <c r="K83" s="42"/>
      <c r="L83" s="42"/>
      <c r="M83" s="42"/>
      <c r="N83" s="42"/>
      <c r="O83" s="42"/>
      <c r="P83" s="42"/>
    </row>
    <row r="84" spans="1:16" ht="15.75">
      <c r="A84" s="45" t="s">
        <v>19</v>
      </c>
      <c r="B84" s="42"/>
      <c r="C84" s="42"/>
      <c r="D84" s="42"/>
      <c r="E84" s="42"/>
      <c r="F84" s="42"/>
      <c r="G84" s="42"/>
      <c r="H84" s="42"/>
      <c r="I84" s="42"/>
      <c r="J84" s="42"/>
      <c r="K84" s="42"/>
      <c r="L84" s="42"/>
      <c r="M84" s="42"/>
      <c r="N84" s="42"/>
      <c r="O84" s="42"/>
      <c r="P84" s="42"/>
    </row>
    <row r="85" spans="1:16" ht="15.75">
      <c r="A85" s="45" t="s">
        <v>20</v>
      </c>
      <c r="B85" s="45" t="s">
        <v>21</v>
      </c>
      <c r="C85" s="45" t="s">
        <v>198</v>
      </c>
      <c r="D85" s="45" t="s">
        <v>18</v>
      </c>
      <c r="E85" s="45" t="s">
        <v>22</v>
      </c>
      <c r="F85" s="45" t="s">
        <v>7</v>
      </c>
      <c r="G85" s="45" t="s">
        <v>13</v>
      </c>
      <c r="H85" s="45" t="s">
        <v>16</v>
      </c>
      <c r="I85" s="45" t="s">
        <v>23</v>
      </c>
      <c r="J85" s="45" t="s">
        <v>24</v>
      </c>
      <c r="K85" s="45" t="s">
        <v>25</v>
      </c>
      <c r="L85" s="45" t="s">
        <v>26</v>
      </c>
      <c r="M85" s="45" t="s">
        <v>27</v>
      </c>
      <c r="N85" s="45" t="s">
        <v>28</v>
      </c>
      <c r="O85" s="45" t="s">
        <v>11</v>
      </c>
      <c r="P85" s="45" t="s">
        <v>199</v>
      </c>
    </row>
    <row r="86" spans="1:16" ht="15.75">
      <c r="A86" s="44" t="str">
        <f>B76</f>
        <v>treatment of composites, tail, airframe, PEMFC-bat, Medium-Term</v>
      </c>
      <c r="B86" s="44">
        <v>1</v>
      </c>
      <c r="C86" s="44"/>
      <c r="D86" s="44" t="s">
        <v>37</v>
      </c>
      <c r="E86" s="42" t="s">
        <v>2</v>
      </c>
      <c r="F86" s="42" t="s">
        <v>1389</v>
      </c>
      <c r="G86" s="44" t="s">
        <v>58</v>
      </c>
      <c r="H86" s="42" t="s">
        <v>30</v>
      </c>
      <c r="I86" s="42">
        <v>0</v>
      </c>
      <c r="J86" s="44" t="s">
        <v>31</v>
      </c>
      <c r="K86" s="44" t="s">
        <v>31</v>
      </c>
      <c r="L86" s="44" t="s">
        <v>31</v>
      </c>
      <c r="M86" s="44" t="s">
        <v>31</v>
      </c>
      <c r="N86" s="44" t="s">
        <v>31</v>
      </c>
      <c r="O86" s="44" t="s">
        <v>1410</v>
      </c>
      <c r="P86" s="42"/>
    </row>
    <row r="87" spans="1:16" ht="15.75">
      <c r="A87" s="47" t="s">
        <v>567</v>
      </c>
      <c r="B87">
        <v>-0.5</v>
      </c>
      <c r="D87" t="s">
        <v>37</v>
      </c>
      <c r="E87" s="46" t="s">
        <v>40</v>
      </c>
      <c r="F87" s="42" t="s">
        <v>1389</v>
      </c>
      <c r="G87" t="s">
        <v>128</v>
      </c>
      <c r="H87" t="s">
        <v>33</v>
      </c>
      <c r="I87" s="42">
        <v>0</v>
      </c>
      <c r="J87" s="44" t="s">
        <v>31</v>
      </c>
      <c r="K87" s="44" t="s">
        <v>31</v>
      </c>
      <c r="L87" s="44" t="s">
        <v>31</v>
      </c>
      <c r="M87" s="44" t="s">
        <v>31</v>
      </c>
      <c r="N87" s="44" t="s">
        <v>31</v>
      </c>
      <c r="O87" s="44" t="s">
        <v>1308</v>
      </c>
      <c r="P87" s="44" t="s">
        <v>1359</v>
      </c>
    </row>
    <row r="88" spans="1:16" ht="15.75">
      <c r="A88" t="s">
        <v>38</v>
      </c>
      <c r="B88">
        <f>B89*0.277777777</f>
        <v>2.415277771015</v>
      </c>
      <c r="D88" t="s">
        <v>39</v>
      </c>
      <c r="E88" s="46" t="s">
        <v>40</v>
      </c>
      <c r="F88" s="42" t="s">
        <v>1389</v>
      </c>
      <c r="G88" t="s">
        <v>58</v>
      </c>
      <c r="H88" s="42" t="s">
        <v>243</v>
      </c>
      <c r="I88" s="42">
        <v>0</v>
      </c>
      <c r="J88" s="44" t="s">
        <v>31</v>
      </c>
      <c r="K88" s="44" t="s">
        <v>31</v>
      </c>
      <c r="L88" s="44" t="s">
        <v>31</v>
      </c>
      <c r="M88" s="44" t="s">
        <v>31</v>
      </c>
      <c r="N88" s="44" t="s">
        <v>31</v>
      </c>
      <c r="O88" t="s">
        <v>1360</v>
      </c>
    </row>
    <row r="89" spans="1:16" ht="15.75">
      <c r="A89" t="s">
        <v>220</v>
      </c>
      <c r="B89">
        <f>-B87*0.5*34.78</f>
        <v>8.6950000000000003</v>
      </c>
      <c r="D89" t="s">
        <v>170</v>
      </c>
      <c r="E89" s="46" t="s">
        <v>40</v>
      </c>
      <c r="F89" s="42" t="s">
        <v>1389</v>
      </c>
      <c r="G89" t="s">
        <v>58</v>
      </c>
      <c r="H89" s="42" t="s">
        <v>243</v>
      </c>
      <c r="I89" s="42">
        <v>0</v>
      </c>
      <c r="J89" s="44" t="s">
        <v>31</v>
      </c>
      <c r="K89" s="44" t="s">
        <v>31</v>
      </c>
      <c r="L89" s="44" t="s">
        <v>31</v>
      </c>
      <c r="M89" s="44" t="s">
        <v>31</v>
      </c>
      <c r="N89" s="44" t="s">
        <v>31</v>
      </c>
      <c r="O89" t="s">
        <v>1395</v>
      </c>
    </row>
    <row r="90" spans="1:16" ht="15.75">
      <c r="A90" s="47" t="s">
        <v>1362</v>
      </c>
      <c r="B90">
        <v>-0.5</v>
      </c>
      <c r="D90" t="s">
        <v>37</v>
      </c>
      <c r="E90" s="46" t="s">
        <v>40</v>
      </c>
      <c r="F90" s="42" t="s">
        <v>1389</v>
      </c>
      <c r="G90" t="s">
        <v>128</v>
      </c>
      <c r="H90" s="42" t="s">
        <v>33</v>
      </c>
      <c r="I90" s="42">
        <v>0</v>
      </c>
      <c r="J90" s="44" t="s">
        <v>31</v>
      </c>
      <c r="K90" s="44" t="s">
        <v>31</v>
      </c>
      <c r="L90" s="44" t="s">
        <v>31</v>
      </c>
      <c r="M90" s="44" t="s">
        <v>31</v>
      </c>
      <c r="N90" s="44" t="s">
        <v>31</v>
      </c>
      <c r="O90" s="44"/>
    </row>
    <row r="91" spans="1:16" s="41" customFormat="1" ht="15.75">
      <c r="A91" s="38" t="s">
        <v>5</v>
      </c>
      <c r="B91" s="38" t="s">
        <v>1411</v>
      </c>
      <c r="C91" s="38"/>
      <c r="D91" s="39"/>
      <c r="E91" s="40"/>
      <c r="F91" s="40"/>
      <c r="G91" s="40"/>
      <c r="H91" s="40"/>
      <c r="I91" s="40"/>
      <c r="J91" s="40"/>
      <c r="K91" s="40"/>
      <c r="L91" s="40"/>
      <c r="M91" s="40"/>
      <c r="N91" s="40"/>
      <c r="O91" s="40"/>
      <c r="P91" s="40"/>
    </row>
    <row r="92" spans="1:16">
      <c r="A92" s="42" t="s">
        <v>7</v>
      </c>
      <c r="B92" s="42" t="s">
        <v>1349</v>
      </c>
      <c r="C92" s="42"/>
      <c r="D92" s="42"/>
      <c r="E92" s="42"/>
      <c r="F92" s="42"/>
      <c r="G92" s="42"/>
      <c r="H92" s="42"/>
      <c r="I92" s="42"/>
      <c r="J92" s="42"/>
      <c r="K92" s="42"/>
      <c r="L92" s="42"/>
      <c r="M92" s="42"/>
      <c r="N92" s="42"/>
      <c r="O92" s="42"/>
      <c r="P92" s="42"/>
    </row>
    <row r="93" spans="1:16">
      <c r="A93" s="42" t="s">
        <v>9</v>
      </c>
      <c r="B93" s="43" t="s">
        <v>1412</v>
      </c>
      <c r="C93" s="42"/>
      <c r="D93" s="42"/>
      <c r="E93" s="42"/>
      <c r="F93" s="42"/>
      <c r="G93" s="42"/>
      <c r="H93" s="42"/>
      <c r="I93" s="42"/>
      <c r="J93" s="42"/>
      <c r="K93" s="42"/>
      <c r="L93" s="42"/>
      <c r="M93" s="42"/>
      <c r="N93" s="42"/>
      <c r="O93" s="42"/>
      <c r="P93" s="42"/>
    </row>
    <row r="94" spans="1:16">
      <c r="A94" s="42" t="s">
        <v>11</v>
      </c>
      <c r="B94" s="42" t="s">
        <v>1388</v>
      </c>
      <c r="C94" s="42"/>
      <c r="D94" s="42"/>
      <c r="E94" s="42"/>
      <c r="F94" s="42"/>
      <c r="G94" s="42"/>
      <c r="H94" s="42"/>
      <c r="I94" s="42"/>
      <c r="J94" s="42"/>
      <c r="K94" s="42"/>
      <c r="L94" s="42"/>
      <c r="M94" s="42"/>
      <c r="N94" s="42"/>
      <c r="O94" s="42"/>
      <c r="P94" s="42"/>
    </row>
    <row r="95" spans="1:16">
      <c r="A95" s="42" t="s">
        <v>13</v>
      </c>
      <c r="B95" s="42" t="s">
        <v>58</v>
      </c>
      <c r="C95" s="42"/>
      <c r="D95" s="42"/>
      <c r="E95" s="42"/>
      <c r="F95" s="42"/>
      <c r="G95" s="42"/>
      <c r="H95" s="42"/>
      <c r="I95" s="42"/>
      <c r="J95" s="42"/>
      <c r="K95" s="42"/>
      <c r="L95" s="42"/>
      <c r="M95" s="42"/>
      <c r="N95" s="42"/>
      <c r="O95" s="42"/>
      <c r="P95" s="42"/>
    </row>
    <row r="96" spans="1:16">
      <c r="A96" s="42" t="s">
        <v>15</v>
      </c>
      <c r="B96" s="42">
        <v>1</v>
      </c>
      <c r="C96" s="42"/>
      <c r="D96" s="42"/>
      <c r="E96" s="42"/>
      <c r="F96" s="42"/>
      <c r="G96" s="42"/>
      <c r="H96" s="42"/>
      <c r="I96" s="42"/>
      <c r="J96" s="42"/>
      <c r="K96" s="42"/>
      <c r="L96" s="42"/>
      <c r="M96" s="42"/>
      <c r="N96" s="42"/>
      <c r="O96" s="42"/>
      <c r="P96" s="42"/>
    </row>
    <row r="97" spans="1:16">
      <c r="A97" s="42" t="s">
        <v>16</v>
      </c>
      <c r="B97" s="42" t="s">
        <v>17</v>
      </c>
      <c r="C97" s="42"/>
      <c r="D97" s="42"/>
      <c r="E97" s="42"/>
      <c r="F97" s="42"/>
      <c r="G97" s="42"/>
      <c r="H97" s="42"/>
      <c r="I97" s="42"/>
      <c r="J97" s="42"/>
      <c r="K97" s="42"/>
      <c r="L97" s="42"/>
      <c r="M97" s="42"/>
      <c r="N97" s="42"/>
      <c r="O97" s="42"/>
      <c r="P97" s="42"/>
    </row>
    <row r="98" spans="1:16" ht="15.75">
      <c r="A98" s="42" t="s">
        <v>18</v>
      </c>
      <c r="B98" s="44" t="s">
        <v>37</v>
      </c>
      <c r="C98" s="42"/>
      <c r="D98" s="42"/>
      <c r="E98" s="42" t="s">
        <v>197</v>
      </c>
      <c r="F98" s="42"/>
      <c r="G98" s="42"/>
      <c r="H98" s="42"/>
      <c r="I98" s="42"/>
      <c r="J98" s="42"/>
      <c r="K98" s="42"/>
      <c r="L98" s="42"/>
      <c r="M98" s="42"/>
      <c r="N98" s="42"/>
      <c r="O98" s="42"/>
      <c r="P98" s="42"/>
    </row>
    <row r="99" spans="1:16" ht="15.75">
      <c r="A99" s="45" t="s">
        <v>19</v>
      </c>
      <c r="B99" s="42"/>
      <c r="C99" s="42"/>
      <c r="D99" s="42"/>
      <c r="E99" s="42"/>
      <c r="F99" s="42"/>
      <c r="G99" s="42"/>
      <c r="H99" s="42"/>
      <c r="I99" s="42"/>
      <c r="J99" s="42"/>
      <c r="K99" s="42"/>
      <c r="L99" s="42"/>
      <c r="M99" s="42"/>
      <c r="N99" s="42"/>
      <c r="O99" s="42"/>
      <c r="P99" s="42"/>
    </row>
    <row r="100" spans="1:16" ht="15.75">
      <c r="A100" s="45" t="s">
        <v>20</v>
      </c>
      <c r="B100" s="45" t="s">
        <v>21</v>
      </c>
      <c r="C100" s="45" t="s">
        <v>198</v>
      </c>
      <c r="D100" s="45" t="s">
        <v>18</v>
      </c>
      <c r="E100" s="45" t="s">
        <v>22</v>
      </c>
      <c r="F100" s="45" t="s">
        <v>7</v>
      </c>
      <c r="G100" s="45" t="s">
        <v>13</v>
      </c>
      <c r="H100" s="45" t="s">
        <v>16</v>
      </c>
      <c r="I100" s="45" t="s">
        <v>23</v>
      </c>
      <c r="J100" s="45" t="s">
        <v>24</v>
      </c>
      <c r="K100" s="45" t="s">
        <v>25</v>
      </c>
      <c r="L100" s="45" t="s">
        <v>26</v>
      </c>
      <c r="M100" s="45" t="s">
        <v>27</v>
      </c>
      <c r="N100" s="45" t="s">
        <v>28</v>
      </c>
      <c r="O100" s="45" t="s">
        <v>11</v>
      </c>
      <c r="P100" s="45" t="s">
        <v>199</v>
      </c>
    </row>
    <row r="101" spans="1:16" ht="15.75">
      <c r="A101" s="44" t="str">
        <f>B91</f>
        <v>treatment of aluminium, fuselage, airframe, PEMFC-bat, Medium-Term</v>
      </c>
      <c r="B101" s="44">
        <v>1</v>
      </c>
      <c r="C101" s="44"/>
      <c r="D101" s="44" t="s">
        <v>37</v>
      </c>
      <c r="E101" s="42" t="s">
        <v>2</v>
      </c>
      <c r="F101" s="42" t="s">
        <v>1389</v>
      </c>
      <c r="G101" s="44" t="s">
        <v>58</v>
      </c>
      <c r="H101" s="42" t="s">
        <v>30</v>
      </c>
      <c r="I101" s="42">
        <v>0</v>
      </c>
      <c r="J101" s="44" t="s">
        <v>31</v>
      </c>
      <c r="K101" s="44" t="s">
        <v>31</v>
      </c>
      <c r="L101" s="44" t="s">
        <v>31</v>
      </c>
      <c r="M101" s="44" t="s">
        <v>31</v>
      </c>
      <c r="N101" s="44" t="s">
        <v>31</v>
      </c>
      <c r="O101" s="44" t="s">
        <v>1413</v>
      </c>
      <c r="P101" s="42"/>
    </row>
    <row r="102" spans="1:16" ht="15.75">
      <c r="A102" t="s">
        <v>245</v>
      </c>
      <c r="B102" s="23">
        <v>0.85</v>
      </c>
      <c r="C102" s="44"/>
      <c r="D102" s="44" t="s">
        <v>37</v>
      </c>
      <c r="E102" s="32" t="s">
        <v>40</v>
      </c>
      <c r="F102" s="42" t="s">
        <v>1389</v>
      </c>
      <c r="G102" s="44" t="s">
        <v>128</v>
      </c>
      <c r="H102" s="42" t="s">
        <v>33</v>
      </c>
      <c r="I102" s="42">
        <v>0</v>
      </c>
      <c r="J102" s="44" t="s">
        <v>31</v>
      </c>
      <c r="K102" s="44" t="s">
        <v>31</v>
      </c>
      <c r="L102" s="44" t="s">
        <v>31</v>
      </c>
      <c r="M102" s="44" t="s">
        <v>31</v>
      </c>
      <c r="N102" s="44" t="s">
        <v>31</v>
      </c>
      <c r="O102" s="42"/>
      <c r="P102" s="42"/>
    </row>
    <row r="103" spans="1:16" ht="15.75">
      <c r="A103" t="s">
        <v>247</v>
      </c>
      <c r="B103" s="23">
        <v>0.85</v>
      </c>
      <c r="C103" s="22" t="s">
        <v>248</v>
      </c>
      <c r="D103" t="s">
        <v>37</v>
      </c>
      <c r="E103" s="46" t="s">
        <v>40</v>
      </c>
      <c r="F103" s="42" t="s">
        <v>1389</v>
      </c>
      <c r="G103" s="44" t="s">
        <v>128</v>
      </c>
      <c r="H103" s="42" t="s">
        <v>33</v>
      </c>
      <c r="I103" s="42">
        <v>0</v>
      </c>
      <c r="J103" s="44" t="s">
        <v>31</v>
      </c>
      <c r="K103" s="44" t="s">
        <v>31</v>
      </c>
      <c r="L103" s="44" t="s">
        <v>31</v>
      </c>
      <c r="M103" s="44" t="s">
        <v>31</v>
      </c>
      <c r="N103" s="44" t="s">
        <v>31</v>
      </c>
      <c r="O103" s="44" t="s">
        <v>1367</v>
      </c>
    </row>
    <row r="104" spans="1:16" ht="15.75">
      <c r="A104" t="s">
        <v>329</v>
      </c>
      <c r="B104" s="23">
        <f>B103*0.9</f>
        <v>0.76500000000000001</v>
      </c>
      <c r="D104" t="s">
        <v>37</v>
      </c>
      <c r="E104" s="46" t="s">
        <v>40</v>
      </c>
      <c r="F104" s="42" t="s">
        <v>1389</v>
      </c>
      <c r="G104" t="s">
        <v>58</v>
      </c>
      <c r="H104" s="42" t="s">
        <v>243</v>
      </c>
      <c r="I104" s="42">
        <v>0</v>
      </c>
      <c r="J104" s="44" t="s">
        <v>31</v>
      </c>
      <c r="K104" s="44" t="s">
        <v>31</v>
      </c>
      <c r="L104" s="44" t="s">
        <v>31</v>
      </c>
      <c r="M104" s="44" t="s">
        <v>31</v>
      </c>
      <c r="N104" s="44" t="s">
        <v>31</v>
      </c>
      <c r="O104" s="42"/>
      <c r="P104" s="44" t="s">
        <v>1391</v>
      </c>
    </row>
    <row r="105" spans="1:16" ht="15.75">
      <c r="A105" t="s">
        <v>380</v>
      </c>
      <c r="B105" s="23">
        <f>-(1-B104)</f>
        <v>-0.23499999999999999</v>
      </c>
      <c r="D105" t="s">
        <v>37</v>
      </c>
      <c r="E105" s="47" t="s">
        <v>40</v>
      </c>
      <c r="F105" s="42" t="s">
        <v>1389</v>
      </c>
      <c r="G105" t="s">
        <v>58</v>
      </c>
      <c r="H105" t="s">
        <v>33</v>
      </c>
      <c r="I105">
        <v>0</v>
      </c>
      <c r="J105" t="s">
        <v>31</v>
      </c>
      <c r="K105" t="s">
        <v>31</v>
      </c>
      <c r="L105" t="s">
        <v>31</v>
      </c>
      <c r="M105" t="s">
        <v>31</v>
      </c>
      <c r="N105" t="s">
        <v>31</v>
      </c>
      <c r="O105" s="17"/>
      <c r="P105" s="42"/>
    </row>
    <row r="106" spans="1:16" s="41" customFormat="1" ht="15.75">
      <c r="A106" s="38" t="s">
        <v>5</v>
      </c>
      <c r="B106" s="38" t="s">
        <v>1414</v>
      </c>
      <c r="C106" s="38"/>
      <c r="D106" s="39"/>
      <c r="E106" s="40"/>
      <c r="F106" s="40"/>
      <c r="G106" s="40"/>
      <c r="H106" s="40"/>
      <c r="I106" s="40"/>
      <c r="J106" s="40"/>
      <c r="K106" s="40"/>
      <c r="L106" s="40"/>
      <c r="M106" s="40"/>
      <c r="N106" s="40"/>
      <c r="O106" s="40"/>
      <c r="P106" s="40"/>
    </row>
    <row r="107" spans="1:16">
      <c r="A107" s="42" t="s">
        <v>7</v>
      </c>
      <c r="B107" s="42" t="s">
        <v>1349</v>
      </c>
      <c r="C107" s="42"/>
      <c r="D107" s="42"/>
      <c r="E107" s="42"/>
      <c r="F107" s="42"/>
      <c r="G107" s="42"/>
      <c r="H107" s="42"/>
      <c r="I107" s="42"/>
      <c r="J107" s="42"/>
      <c r="K107" s="42"/>
      <c r="L107" s="42"/>
      <c r="M107" s="42"/>
      <c r="N107" s="42"/>
      <c r="O107" s="42"/>
      <c r="P107" s="42"/>
    </row>
    <row r="108" spans="1:16">
      <c r="A108" s="42" t="s">
        <v>9</v>
      </c>
      <c r="B108" s="43" t="s">
        <v>1415</v>
      </c>
      <c r="C108" s="42"/>
      <c r="D108" s="42"/>
      <c r="E108" s="42"/>
      <c r="F108" s="42"/>
      <c r="G108" s="42"/>
      <c r="H108" s="42"/>
      <c r="I108" s="42"/>
      <c r="J108" s="42"/>
      <c r="K108" s="42"/>
      <c r="L108" s="42"/>
      <c r="M108" s="42"/>
      <c r="N108" s="42"/>
      <c r="O108" s="42"/>
      <c r="P108" s="42"/>
    </row>
    <row r="109" spans="1:16">
      <c r="A109" s="42" t="s">
        <v>11</v>
      </c>
      <c r="B109" s="42" t="s">
        <v>1388</v>
      </c>
      <c r="C109" s="42"/>
      <c r="D109" s="42"/>
      <c r="E109" s="42"/>
      <c r="F109" s="42"/>
      <c r="G109" s="42"/>
      <c r="H109" s="42"/>
      <c r="I109" s="42"/>
      <c r="J109" s="42"/>
      <c r="K109" s="42"/>
      <c r="L109" s="42"/>
      <c r="M109" s="42"/>
      <c r="N109" s="42"/>
      <c r="O109" s="42"/>
      <c r="P109" s="42"/>
    </row>
    <row r="110" spans="1:16">
      <c r="A110" s="42" t="s">
        <v>13</v>
      </c>
      <c r="B110" s="42" t="s">
        <v>58</v>
      </c>
      <c r="C110" s="42"/>
      <c r="D110" s="42"/>
      <c r="E110" s="42"/>
      <c r="F110" s="42"/>
      <c r="G110" s="42"/>
      <c r="H110" s="42"/>
      <c r="I110" s="42"/>
      <c r="J110" s="42"/>
      <c r="K110" s="42"/>
      <c r="L110" s="42"/>
      <c r="M110" s="42"/>
      <c r="N110" s="42"/>
      <c r="O110" s="42"/>
      <c r="P110" s="42"/>
    </row>
    <row r="111" spans="1:16">
      <c r="A111" s="42" t="s">
        <v>15</v>
      </c>
      <c r="B111" s="42">
        <v>1</v>
      </c>
      <c r="C111" s="42"/>
      <c r="D111" s="42"/>
      <c r="E111" s="42"/>
      <c r="F111" s="42"/>
      <c r="G111" s="42"/>
      <c r="H111" s="42"/>
      <c r="I111" s="42"/>
      <c r="J111" s="42"/>
      <c r="K111" s="42"/>
      <c r="L111" s="42"/>
      <c r="M111" s="42"/>
      <c r="N111" s="42"/>
      <c r="O111" s="42"/>
      <c r="P111" s="42"/>
    </row>
    <row r="112" spans="1:16">
      <c r="A112" s="42" t="s">
        <v>16</v>
      </c>
      <c r="B112" s="42" t="s">
        <v>17</v>
      </c>
      <c r="C112" s="42"/>
      <c r="D112" s="42"/>
      <c r="E112" s="42"/>
      <c r="F112" s="42"/>
      <c r="G112" s="42"/>
      <c r="H112" s="42"/>
      <c r="I112" s="42"/>
      <c r="J112" s="42"/>
      <c r="K112" s="42"/>
      <c r="L112" s="42"/>
      <c r="M112" s="42"/>
      <c r="N112" s="42"/>
      <c r="O112" s="42"/>
      <c r="P112" s="42"/>
    </row>
    <row r="113" spans="1:16" ht="15.75">
      <c r="A113" s="42" t="s">
        <v>18</v>
      </c>
      <c r="B113" s="44" t="s">
        <v>37</v>
      </c>
      <c r="C113" s="42"/>
      <c r="D113" s="42"/>
      <c r="E113" s="42" t="s">
        <v>197</v>
      </c>
      <c r="F113" s="42"/>
      <c r="G113" s="42"/>
      <c r="H113" s="42"/>
      <c r="I113" s="42"/>
      <c r="J113" s="42"/>
      <c r="K113" s="42"/>
      <c r="L113" s="42"/>
      <c r="M113" s="42"/>
      <c r="N113" s="42"/>
      <c r="O113" s="42"/>
      <c r="P113" s="42"/>
    </row>
    <row r="114" spans="1:16" ht="15.75">
      <c r="A114" s="45" t="s">
        <v>19</v>
      </c>
      <c r="B114" s="42"/>
      <c r="C114" s="42"/>
      <c r="D114" s="42"/>
      <c r="E114" s="42"/>
      <c r="F114" s="42"/>
      <c r="G114" s="42"/>
      <c r="H114" s="42"/>
      <c r="I114" s="42"/>
      <c r="J114" s="42"/>
      <c r="K114" s="42"/>
      <c r="L114" s="42"/>
      <c r="M114" s="42"/>
      <c r="N114" s="42"/>
      <c r="O114" s="42"/>
      <c r="P114" s="42"/>
    </row>
    <row r="115" spans="1:16" ht="15.75">
      <c r="A115" s="45" t="s">
        <v>20</v>
      </c>
      <c r="B115" s="45" t="s">
        <v>21</v>
      </c>
      <c r="C115" s="45" t="s">
        <v>198</v>
      </c>
      <c r="D115" s="45" t="s">
        <v>18</v>
      </c>
      <c r="E115" s="45" t="s">
        <v>22</v>
      </c>
      <c r="F115" s="45" t="s">
        <v>7</v>
      </c>
      <c r="G115" s="45" t="s">
        <v>13</v>
      </c>
      <c r="H115" s="45" t="s">
        <v>16</v>
      </c>
      <c r="I115" s="45" t="s">
        <v>23</v>
      </c>
      <c r="J115" s="45" t="s">
        <v>24</v>
      </c>
      <c r="K115" s="45" t="s">
        <v>25</v>
      </c>
      <c r="L115" s="45" t="s">
        <v>26</v>
      </c>
      <c r="M115" s="45" t="s">
        <v>27</v>
      </c>
      <c r="N115" s="45" t="s">
        <v>28</v>
      </c>
      <c r="O115" s="45" t="s">
        <v>11</v>
      </c>
      <c r="P115" s="45" t="s">
        <v>199</v>
      </c>
    </row>
    <row r="116" spans="1:16" ht="15.75">
      <c r="A116" s="44" t="str">
        <f>B106</f>
        <v>treatment of composites, fuselage, airframe, PEMFC-bat, Medium-Term</v>
      </c>
      <c r="B116" s="44">
        <v>1</v>
      </c>
      <c r="C116" s="44"/>
      <c r="D116" s="44" t="s">
        <v>37</v>
      </c>
      <c r="E116" s="42" t="s">
        <v>2</v>
      </c>
      <c r="F116" s="42" t="s">
        <v>1389</v>
      </c>
      <c r="G116" s="44" t="s">
        <v>58</v>
      </c>
      <c r="H116" s="42" t="s">
        <v>30</v>
      </c>
      <c r="I116" s="42">
        <v>0</v>
      </c>
      <c r="J116" s="44" t="s">
        <v>31</v>
      </c>
      <c r="K116" s="44" t="s">
        <v>31</v>
      </c>
      <c r="L116" s="44" t="s">
        <v>31</v>
      </c>
      <c r="M116" s="44" t="s">
        <v>31</v>
      </c>
      <c r="N116" s="44" t="s">
        <v>31</v>
      </c>
      <c r="O116" s="44" t="s">
        <v>1416</v>
      </c>
      <c r="P116" s="42"/>
    </row>
    <row r="117" spans="1:16" ht="15.75">
      <c r="A117" s="47" t="s">
        <v>567</v>
      </c>
      <c r="B117">
        <v>-0.5</v>
      </c>
      <c r="D117" t="s">
        <v>37</v>
      </c>
      <c r="E117" s="46" t="s">
        <v>40</v>
      </c>
      <c r="F117" s="42" t="s">
        <v>1389</v>
      </c>
      <c r="G117" t="s">
        <v>128</v>
      </c>
      <c r="H117" t="s">
        <v>33</v>
      </c>
      <c r="I117" s="42">
        <v>0</v>
      </c>
      <c r="J117" s="44" t="s">
        <v>31</v>
      </c>
      <c r="K117" s="44" t="s">
        <v>31</v>
      </c>
      <c r="L117" s="44" t="s">
        <v>31</v>
      </c>
      <c r="M117" s="44" t="s">
        <v>31</v>
      </c>
      <c r="N117" s="44" t="s">
        <v>31</v>
      </c>
      <c r="O117" s="44" t="s">
        <v>1308</v>
      </c>
      <c r="P117" s="44" t="s">
        <v>1359</v>
      </c>
    </row>
    <row r="118" spans="1:16" ht="15.75">
      <c r="A118" t="s">
        <v>38</v>
      </c>
      <c r="B118">
        <f>B119*0.277777777</f>
        <v>2.415277771015</v>
      </c>
      <c r="D118" t="s">
        <v>39</v>
      </c>
      <c r="E118" s="46" t="s">
        <v>40</v>
      </c>
      <c r="F118" s="42" t="s">
        <v>1389</v>
      </c>
      <c r="G118" t="s">
        <v>58</v>
      </c>
      <c r="H118" s="42" t="s">
        <v>243</v>
      </c>
      <c r="I118" s="42">
        <v>0</v>
      </c>
      <c r="J118" s="44" t="s">
        <v>31</v>
      </c>
      <c r="K118" s="44" t="s">
        <v>31</v>
      </c>
      <c r="L118" s="44" t="s">
        <v>31</v>
      </c>
      <c r="M118" s="44" t="s">
        <v>31</v>
      </c>
      <c r="N118" s="44" t="s">
        <v>31</v>
      </c>
      <c r="O118" t="s">
        <v>1360</v>
      </c>
    </row>
    <row r="119" spans="1:16" ht="15.75">
      <c r="A119" t="s">
        <v>220</v>
      </c>
      <c r="B119">
        <f>-B117*0.5*34.78</f>
        <v>8.6950000000000003</v>
      </c>
      <c r="D119" t="s">
        <v>170</v>
      </c>
      <c r="E119" s="46" t="s">
        <v>40</v>
      </c>
      <c r="F119" s="42" t="s">
        <v>1389</v>
      </c>
      <c r="G119" t="s">
        <v>58</v>
      </c>
      <c r="H119" s="42" t="s">
        <v>243</v>
      </c>
      <c r="I119" s="42">
        <v>0</v>
      </c>
      <c r="J119" s="44" t="s">
        <v>31</v>
      </c>
      <c r="K119" s="44" t="s">
        <v>31</v>
      </c>
      <c r="L119" s="44" t="s">
        <v>31</v>
      </c>
      <c r="M119" s="44" t="s">
        <v>31</v>
      </c>
      <c r="N119" s="44" t="s">
        <v>31</v>
      </c>
      <c r="O119" t="s">
        <v>1395</v>
      </c>
    </row>
    <row r="120" spans="1:16" ht="15.75">
      <c r="A120" s="47" t="s">
        <v>1362</v>
      </c>
      <c r="B120">
        <v>-0.5</v>
      </c>
      <c r="D120" t="s">
        <v>37</v>
      </c>
      <c r="E120" s="46" t="s">
        <v>40</v>
      </c>
      <c r="F120" s="42" t="s">
        <v>1389</v>
      </c>
      <c r="G120" t="s">
        <v>128</v>
      </c>
      <c r="H120" s="42" t="s">
        <v>33</v>
      </c>
      <c r="I120" s="42">
        <v>0</v>
      </c>
      <c r="J120" s="44" t="s">
        <v>31</v>
      </c>
      <c r="K120" s="44" t="s">
        <v>31</v>
      </c>
      <c r="L120" s="44" t="s">
        <v>31</v>
      </c>
      <c r="M120" s="44" t="s">
        <v>31</v>
      </c>
      <c r="N120" s="44" t="s">
        <v>31</v>
      </c>
      <c r="O120" s="44"/>
    </row>
    <row r="121" spans="1:16" s="41" customFormat="1" ht="15.75">
      <c r="A121" s="38" t="s">
        <v>5</v>
      </c>
      <c r="B121" s="38" t="s">
        <v>1417</v>
      </c>
      <c r="C121" s="38"/>
      <c r="D121" s="39"/>
      <c r="E121" s="40"/>
      <c r="F121" s="40"/>
      <c r="G121" s="40"/>
      <c r="H121" s="40"/>
      <c r="I121" s="40"/>
      <c r="J121" s="40"/>
      <c r="K121" s="40"/>
      <c r="L121" s="40"/>
      <c r="M121" s="40"/>
      <c r="N121" s="40"/>
      <c r="O121" s="40"/>
      <c r="P121" s="40"/>
    </row>
    <row r="122" spans="1:16">
      <c r="A122" s="42" t="s">
        <v>7</v>
      </c>
      <c r="B122" s="42" t="s">
        <v>1349</v>
      </c>
      <c r="C122" s="42"/>
      <c r="D122" s="42"/>
      <c r="E122" s="42"/>
      <c r="F122" s="42"/>
      <c r="G122" s="42"/>
      <c r="H122" s="42"/>
      <c r="I122" s="42"/>
      <c r="J122" s="42"/>
      <c r="K122" s="42"/>
      <c r="L122" s="42"/>
      <c r="M122" s="42"/>
      <c r="N122" s="42"/>
      <c r="O122" s="42"/>
      <c r="P122" s="42"/>
    </row>
    <row r="123" spans="1:16">
      <c r="A123" s="42" t="s">
        <v>9</v>
      </c>
      <c r="B123" s="43" t="s">
        <v>1418</v>
      </c>
      <c r="C123" s="42"/>
      <c r="D123" s="42"/>
      <c r="E123" s="42"/>
      <c r="F123" s="42"/>
      <c r="G123" s="42"/>
      <c r="H123" s="42"/>
      <c r="I123" s="42"/>
      <c r="J123" s="42"/>
      <c r="K123" s="42"/>
      <c r="L123" s="42"/>
      <c r="M123" s="42"/>
      <c r="N123" s="42"/>
      <c r="O123" s="42"/>
      <c r="P123" s="42"/>
    </row>
    <row r="124" spans="1:16">
      <c r="A124" s="42" t="s">
        <v>11</v>
      </c>
      <c r="B124" s="42" t="s">
        <v>1388</v>
      </c>
      <c r="C124" s="42"/>
      <c r="D124" s="42"/>
      <c r="E124" s="42"/>
      <c r="F124" s="42"/>
      <c r="G124" s="42"/>
      <c r="H124" s="42"/>
      <c r="I124" s="42"/>
      <c r="J124" s="42"/>
      <c r="K124" s="42"/>
      <c r="L124" s="42"/>
      <c r="M124" s="42"/>
      <c r="N124" s="42"/>
      <c r="O124" s="42"/>
      <c r="P124" s="42"/>
    </row>
    <row r="125" spans="1:16">
      <c r="A125" s="42" t="s">
        <v>13</v>
      </c>
      <c r="B125" s="42" t="s">
        <v>58</v>
      </c>
      <c r="C125" s="42"/>
      <c r="D125" s="42"/>
      <c r="E125" s="42"/>
      <c r="F125" s="42"/>
      <c r="G125" s="42"/>
      <c r="H125" s="42"/>
      <c r="I125" s="42"/>
      <c r="J125" s="42"/>
      <c r="K125" s="42"/>
      <c r="L125" s="42"/>
      <c r="M125" s="42"/>
      <c r="N125" s="42"/>
      <c r="O125" s="42"/>
      <c r="P125" s="42"/>
    </row>
    <row r="126" spans="1:16">
      <c r="A126" s="42" t="s">
        <v>15</v>
      </c>
      <c r="B126" s="42">
        <v>1</v>
      </c>
      <c r="C126" s="42"/>
      <c r="D126" s="42"/>
      <c r="E126" s="42"/>
      <c r="F126" s="42"/>
      <c r="G126" s="42"/>
      <c r="H126" s="42"/>
      <c r="I126" s="42"/>
      <c r="J126" s="42"/>
      <c r="K126" s="42"/>
      <c r="L126" s="42"/>
      <c r="M126" s="42"/>
      <c r="N126" s="42"/>
      <c r="O126" s="42"/>
      <c r="P126" s="42"/>
    </row>
    <row r="127" spans="1:16">
      <c r="A127" s="42" t="s">
        <v>16</v>
      </c>
      <c r="B127" s="42" t="s">
        <v>17</v>
      </c>
      <c r="C127" s="42"/>
      <c r="D127" s="42"/>
      <c r="E127" s="42"/>
      <c r="F127" s="42"/>
      <c r="G127" s="42"/>
      <c r="H127" s="42"/>
      <c r="I127" s="42"/>
      <c r="J127" s="42"/>
      <c r="K127" s="42"/>
      <c r="L127" s="42"/>
      <c r="M127" s="42"/>
      <c r="N127" s="42"/>
      <c r="O127" s="42"/>
      <c r="P127" s="42"/>
    </row>
    <row r="128" spans="1:16" ht="15.75">
      <c r="A128" s="42" t="s">
        <v>18</v>
      </c>
      <c r="B128" s="44" t="s">
        <v>37</v>
      </c>
      <c r="C128" s="42"/>
      <c r="D128" s="42"/>
      <c r="E128" s="42" t="s">
        <v>197</v>
      </c>
      <c r="F128" s="42"/>
      <c r="G128" s="42"/>
      <c r="H128" s="42"/>
      <c r="I128" s="42"/>
      <c r="J128" s="42"/>
      <c r="K128" s="42"/>
      <c r="L128" s="42"/>
      <c r="M128" s="42"/>
      <c r="N128" s="42"/>
      <c r="O128" s="42"/>
      <c r="P128" s="42"/>
    </row>
    <row r="129" spans="1:16" ht="15.75">
      <c r="A129" s="45" t="s">
        <v>19</v>
      </c>
      <c r="B129" s="42"/>
      <c r="C129" s="42"/>
      <c r="D129" s="42"/>
      <c r="E129" s="42"/>
      <c r="F129" s="42"/>
      <c r="G129" s="42"/>
      <c r="H129" s="42"/>
      <c r="I129" s="42"/>
      <c r="J129" s="42"/>
      <c r="K129" s="42"/>
      <c r="L129" s="42"/>
      <c r="M129" s="42"/>
      <c r="N129" s="42"/>
      <c r="O129" s="42"/>
      <c r="P129" s="42"/>
    </row>
    <row r="130" spans="1:16" ht="15.75">
      <c r="A130" s="45" t="s">
        <v>20</v>
      </c>
      <c r="B130" s="45" t="s">
        <v>21</v>
      </c>
      <c r="C130" s="45" t="s">
        <v>198</v>
      </c>
      <c r="D130" s="45" t="s">
        <v>18</v>
      </c>
      <c r="E130" s="45" t="s">
        <v>22</v>
      </c>
      <c r="F130" s="45" t="s">
        <v>7</v>
      </c>
      <c r="G130" s="45" t="s">
        <v>13</v>
      </c>
      <c r="H130" s="45" t="s">
        <v>16</v>
      </c>
      <c r="I130" s="45" t="s">
        <v>23</v>
      </c>
      <c r="J130" s="45" t="s">
        <v>24</v>
      </c>
      <c r="K130" s="45" t="s">
        <v>25</v>
      </c>
      <c r="L130" s="45" t="s">
        <v>26</v>
      </c>
      <c r="M130" s="45" t="s">
        <v>27</v>
      </c>
      <c r="N130" s="45" t="s">
        <v>28</v>
      </c>
      <c r="O130" s="45" t="s">
        <v>11</v>
      </c>
      <c r="P130" s="45" t="s">
        <v>199</v>
      </c>
    </row>
    <row r="131" spans="1:16" ht="15.75">
      <c r="A131" s="44" t="str">
        <f>B121</f>
        <v>treatment of steel, fuselage, airframe, PEMFC-bat, Medium-Term</v>
      </c>
      <c r="B131" s="44">
        <v>1</v>
      </c>
      <c r="C131" s="44"/>
      <c r="D131" s="44" t="s">
        <v>37</v>
      </c>
      <c r="E131" s="42" t="s">
        <v>2</v>
      </c>
      <c r="F131" s="42" t="s">
        <v>1389</v>
      </c>
      <c r="G131" s="44" t="s">
        <v>58</v>
      </c>
      <c r="H131" s="42" t="s">
        <v>30</v>
      </c>
      <c r="I131" s="42">
        <v>0</v>
      </c>
      <c r="J131" s="44" t="s">
        <v>31</v>
      </c>
      <c r="K131" s="44" t="s">
        <v>31</v>
      </c>
      <c r="L131" s="44" t="s">
        <v>31</v>
      </c>
      <c r="M131" s="44" t="s">
        <v>31</v>
      </c>
      <c r="N131" s="44" t="s">
        <v>31</v>
      </c>
      <c r="O131" s="44" t="s">
        <v>1419</v>
      </c>
      <c r="P131" s="42"/>
    </row>
    <row r="132" spans="1:16" ht="15.75">
      <c r="A132" t="s">
        <v>240</v>
      </c>
      <c r="B132" s="23">
        <v>0.85</v>
      </c>
      <c r="C132" s="44"/>
      <c r="D132" s="44" t="s">
        <v>37</v>
      </c>
      <c r="E132" s="47" t="s">
        <v>40</v>
      </c>
      <c r="F132" s="42" t="s">
        <v>1389</v>
      </c>
      <c r="G132" s="44" t="s">
        <v>128</v>
      </c>
      <c r="H132" s="42" t="s">
        <v>33</v>
      </c>
      <c r="I132" s="42">
        <v>0</v>
      </c>
      <c r="J132" s="44" t="s">
        <v>31</v>
      </c>
      <c r="K132" s="44" t="s">
        <v>31</v>
      </c>
      <c r="L132" s="44" t="s">
        <v>31</v>
      </c>
      <c r="M132" s="44" t="s">
        <v>31</v>
      </c>
      <c r="N132" s="44" t="s">
        <v>31</v>
      </c>
      <c r="O132" s="42"/>
      <c r="P132" s="42"/>
    </row>
    <row r="133" spans="1:16" ht="15.75">
      <c r="A133" t="s">
        <v>704</v>
      </c>
      <c r="B133" s="23">
        <f>0.9*B132</f>
        <v>0.76500000000000001</v>
      </c>
      <c r="C133" s="44"/>
      <c r="D133" s="44" t="s">
        <v>37</v>
      </c>
      <c r="E133" s="47" t="s">
        <v>40</v>
      </c>
      <c r="F133" s="42" t="s">
        <v>1389</v>
      </c>
      <c r="G133" s="44" t="s">
        <v>58</v>
      </c>
      <c r="H133" s="42" t="s">
        <v>243</v>
      </c>
      <c r="I133" s="42">
        <v>0</v>
      </c>
      <c r="J133" s="44" t="s">
        <v>31</v>
      </c>
      <c r="K133" s="44" t="s">
        <v>31</v>
      </c>
      <c r="L133" s="44" t="s">
        <v>31</v>
      </c>
      <c r="M133" s="44" t="s">
        <v>31</v>
      </c>
      <c r="N133" s="44" t="s">
        <v>31</v>
      </c>
      <c r="O133" s="42"/>
      <c r="P133" s="42" t="s">
        <v>1301</v>
      </c>
    </row>
    <row r="134" spans="1:16" ht="16.5" customHeight="1">
      <c r="A134" t="s">
        <v>380</v>
      </c>
      <c r="B134" s="23">
        <f>-(1-B133)</f>
        <v>-0.23499999999999999</v>
      </c>
      <c r="D134" t="s">
        <v>37</v>
      </c>
      <c r="E134" s="47" t="s">
        <v>40</v>
      </c>
      <c r="F134" s="42" t="s">
        <v>1389</v>
      </c>
      <c r="G134" t="s">
        <v>58</v>
      </c>
      <c r="H134" t="s">
        <v>33</v>
      </c>
      <c r="I134">
        <v>0</v>
      </c>
      <c r="J134" t="s">
        <v>31</v>
      </c>
      <c r="K134" t="s">
        <v>31</v>
      </c>
      <c r="L134" t="s">
        <v>31</v>
      </c>
      <c r="M134" t="s">
        <v>31</v>
      </c>
      <c r="N134" t="s">
        <v>31</v>
      </c>
      <c r="O134" s="17"/>
      <c r="P134" s="42" t="s">
        <v>1399</v>
      </c>
    </row>
    <row r="135" spans="1:16" s="41" customFormat="1" ht="15.75">
      <c r="A135" s="38" t="s">
        <v>5</v>
      </c>
      <c r="B135" s="38" t="s">
        <v>1420</v>
      </c>
      <c r="C135" s="38"/>
      <c r="D135" s="39"/>
      <c r="E135" s="40"/>
      <c r="F135" s="40"/>
      <c r="G135" s="40"/>
      <c r="H135" s="40"/>
      <c r="I135" s="40"/>
      <c r="J135" s="40"/>
      <c r="K135" s="40"/>
      <c r="L135" s="40"/>
      <c r="M135" s="40"/>
      <c r="N135" s="40"/>
      <c r="O135" s="40"/>
      <c r="P135" s="40"/>
    </row>
    <row r="136" spans="1:16">
      <c r="A136" s="42" t="s">
        <v>7</v>
      </c>
      <c r="B136" s="42" t="s">
        <v>1349</v>
      </c>
      <c r="C136" s="42"/>
      <c r="D136" s="42"/>
      <c r="E136" s="42"/>
      <c r="F136" s="42"/>
      <c r="G136" s="42"/>
      <c r="H136" s="42"/>
      <c r="I136" s="42"/>
      <c r="J136" s="42"/>
      <c r="K136" s="42"/>
      <c r="L136" s="42"/>
      <c r="M136" s="42"/>
      <c r="N136" s="42"/>
      <c r="O136" s="42"/>
      <c r="P136" s="42"/>
    </row>
    <row r="137" spans="1:16">
      <c r="A137" s="42" t="s">
        <v>9</v>
      </c>
      <c r="B137" s="43" t="s">
        <v>1421</v>
      </c>
      <c r="C137" s="42"/>
      <c r="D137" s="42"/>
      <c r="E137" s="42"/>
      <c r="F137" s="42"/>
      <c r="G137" s="42"/>
      <c r="H137" s="42"/>
      <c r="I137" s="42"/>
      <c r="J137" s="42"/>
      <c r="K137" s="42"/>
      <c r="L137" s="42"/>
      <c r="M137" s="42"/>
      <c r="N137" s="42"/>
      <c r="O137" s="42"/>
      <c r="P137" s="42"/>
    </row>
    <row r="138" spans="1:16">
      <c r="A138" s="42" t="s">
        <v>11</v>
      </c>
      <c r="B138" s="42" t="s">
        <v>1388</v>
      </c>
      <c r="C138" s="42"/>
      <c r="D138" s="42"/>
      <c r="E138" s="42"/>
      <c r="F138" s="42"/>
      <c r="G138" s="42"/>
      <c r="H138" s="42"/>
      <c r="I138" s="42"/>
      <c r="J138" s="42"/>
      <c r="K138" s="42"/>
      <c r="L138" s="42"/>
      <c r="M138" s="42"/>
      <c r="N138" s="42"/>
      <c r="O138" s="42"/>
      <c r="P138" s="42"/>
    </row>
    <row r="139" spans="1:16">
      <c r="A139" s="42" t="s">
        <v>13</v>
      </c>
      <c r="B139" s="42" t="s">
        <v>58</v>
      </c>
      <c r="C139" s="42"/>
      <c r="D139" s="42"/>
      <c r="E139" s="42"/>
      <c r="F139" s="42"/>
      <c r="G139" s="42"/>
      <c r="H139" s="42"/>
      <c r="I139" s="42"/>
      <c r="J139" s="42"/>
      <c r="K139" s="42"/>
      <c r="L139" s="42"/>
      <c r="M139" s="42"/>
      <c r="N139" s="42"/>
      <c r="O139" s="42"/>
      <c r="P139" s="42"/>
    </row>
    <row r="140" spans="1:16">
      <c r="A140" s="42" t="s">
        <v>15</v>
      </c>
      <c r="B140" s="42">
        <v>1</v>
      </c>
      <c r="C140" s="42"/>
      <c r="D140" s="42"/>
      <c r="E140" s="42"/>
      <c r="F140" s="42"/>
      <c r="G140" s="42"/>
      <c r="H140" s="42"/>
      <c r="I140" s="42"/>
      <c r="J140" s="42"/>
      <c r="K140" s="42"/>
      <c r="L140" s="42"/>
      <c r="M140" s="42"/>
      <c r="N140" s="42"/>
      <c r="O140" s="42"/>
      <c r="P140" s="42"/>
    </row>
    <row r="141" spans="1:16">
      <c r="A141" s="42" t="s">
        <v>16</v>
      </c>
      <c r="B141" s="42" t="s">
        <v>17</v>
      </c>
      <c r="C141" s="42"/>
      <c r="D141" s="42"/>
      <c r="E141" s="42"/>
      <c r="F141" s="42"/>
      <c r="G141" s="42"/>
      <c r="H141" s="42"/>
      <c r="I141" s="42"/>
      <c r="J141" s="42"/>
      <c r="K141" s="42"/>
      <c r="L141" s="42"/>
      <c r="M141" s="42"/>
      <c r="N141" s="42"/>
      <c r="O141" s="42"/>
      <c r="P141" s="42"/>
    </row>
    <row r="142" spans="1:16" ht="15.75">
      <c r="A142" s="42" t="s">
        <v>18</v>
      </c>
      <c r="B142" s="44" t="s">
        <v>37</v>
      </c>
      <c r="C142" s="42"/>
      <c r="D142" s="42"/>
      <c r="E142" s="42" t="s">
        <v>197</v>
      </c>
      <c r="F142" s="42"/>
      <c r="G142" s="42"/>
      <c r="H142" s="42"/>
      <c r="I142" s="42"/>
      <c r="J142" s="42"/>
      <c r="K142" s="42"/>
      <c r="L142" s="42"/>
      <c r="M142" s="42"/>
      <c r="N142" s="42"/>
      <c r="O142" s="42"/>
      <c r="P142" s="42"/>
    </row>
    <row r="143" spans="1:16" ht="15.75">
      <c r="A143" s="45" t="s">
        <v>19</v>
      </c>
      <c r="B143" s="42"/>
      <c r="C143" s="42"/>
      <c r="D143" s="42"/>
      <c r="E143" s="42"/>
      <c r="F143" s="42"/>
      <c r="G143" s="42"/>
      <c r="H143" s="42"/>
      <c r="I143" s="42"/>
      <c r="J143" s="42"/>
      <c r="K143" s="42"/>
      <c r="L143" s="42"/>
      <c r="M143" s="42"/>
      <c r="N143" s="42"/>
      <c r="O143" s="42"/>
      <c r="P143" s="42"/>
    </row>
    <row r="144" spans="1:16" ht="15.75">
      <c r="A144" s="45" t="s">
        <v>20</v>
      </c>
      <c r="B144" s="45" t="s">
        <v>21</v>
      </c>
      <c r="C144" s="45" t="s">
        <v>198</v>
      </c>
      <c r="D144" s="45" t="s">
        <v>18</v>
      </c>
      <c r="E144" s="45" t="s">
        <v>22</v>
      </c>
      <c r="F144" s="45" t="s">
        <v>7</v>
      </c>
      <c r="G144" s="45" t="s">
        <v>13</v>
      </c>
      <c r="H144" s="45" t="s">
        <v>16</v>
      </c>
      <c r="I144" s="45" t="s">
        <v>23</v>
      </c>
      <c r="J144" s="45" t="s">
        <v>24</v>
      </c>
      <c r="K144" s="45" t="s">
        <v>25</v>
      </c>
      <c r="L144" s="45" t="s">
        <v>26</v>
      </c>
      <c r="M144" s="45" t="s">
        <v>27</v>
      </c>
      <c r="N144" s="45" t="s">
        <v>28</v>
      </c>
      <c r="O144" s="45" t="s">
        <v>11</v>
      </c>
      <c r="P144" s="45" t="s">
        <v>199</v>
      </c>
    </row>
    <row r="145" spans="1:22" ht="15.75">
      <c r="A145" s="44" t="str">
        <f>B135</f>
        <v>treatment of titanium, fuselage, airframe, PEMFC-bat, Medium-Term</v>
      </c>
      <c r="B145" s="44">
        <v>1</v>
      </c>
      <c r="C145" s="44"/>
      <c r="D145" s="44" t="s">
        <v>37</v>
      </c>
      <c r="E145" s="42" t="s">
        <v>2</v>
      </c>
      <c r="F145" s="42" t="s">
        <v>1389</v>
      </c>
      <c r="G145" s="44" t="s">
        <v>58</v>
      </c>
      <c r="H145" s="42" t="s">
        <v>30</v>
      </c>
      <c r="I145" s="42">
        <v>0</v>
      </c>
      <c r="J145" s="44" t="s">
        <v>31</v>
      </c>
      <c r="K145" s="44" t="s">
        <v>31</v>
      </c>
      <c r="L145" s="44" t="s">
        <v>31</v>
      </c>
      <c r="M145" s="44" t="s">
        <v>31</v>
      </c>
      <c r="N145" s="44" t="s">
        <v>31</v>
      </c>
      <c r="O145" s="44" t="s">
        <v>1398</v>
      </c>
      <c r="P145" s="42"/>
    </row>
    <row r="146" spans="1:22">
      <c r="A146" t="s">
        <v>75</v>
      </c>
      <c r="B146">
        <f>U146</f>
        <v>19.0000152</v>
      </c>
      <c r="D146" t="s">
        <v>39</v>
      </c>
      <c r="E146" t="s">
        <v>40</v>
      </c>
      <c r="F146" s="42" t="s">
        <v>1389</v>
      </c>
      <c r="G146" t="s">
        <v>58</v>
      </c>
      <c r="H146" t="s">
        <v>33</v>
      </c>
      <c r="I146">
        <v>2</v>
      </c>
      <c r="J146">
        <v>9.398101209</v>
      </c>
      <c r="K146">
        <v>0.30331501799999999</v>
      </c>
      <c r="L146" t="s">
        <v>31</v>
      </c>
      <c r="M146" t="s">
        <v>31</v>
      </c>
      <c r="N146" t="s">
        <v>31</v>
      </c>
      <c r="O146" t="s">
        <v>1422</v>
      </c>
      <c r="P146" t="s">
        <v>1423</v>
      </c>
      <c r="Q146" s="22" t="s">
        <v>1402</v>
      </c>
      <c r="S146" s="22">
        <f>114*0.6</f>
        <v>68.399999999999991</v>
      </c>
      <c r="T146" s="22" t="s">
        <v>218</v>
      </c>
      <c r="U146" s="22">
        <f>S146*0.277778</f>
        <v>19.0000152</v>
      </c>
      <c r="V146" s="22" t="s">
        <v>216</v>
      </c>
    </row>
    <row r="147" spans="1:22">
      <c r="A147" t="s">
        <v>77</v>
      </c>
      <c r="B147">
        <f>U147</f>
        <v>1.1906005221932117</v>
      </c>
      <c r="D147" t="s">
        <v>42</v>
      </c>
      <c r="E147" t="s">
        <v>40</v>
      </c>
      <c r="F147" s="42" t="s">
        <v>1389</v>
      </c>
      <c r="G147" t="s">
        <v>217</v>
      </c>
      <c r="H147" t="s">
        <v>33</v>
      </c>
      <c r="I147">
        <v>2</v>
      </c>
      <c r="J147">
        <v>6.6281192500000001</v>
      </c>
      <c r="K147">
        <v>0.30331501799999999</v>
      </c>
      <c r="L147" t="s">
        <v>31</v>
      </c>
      <c r="M147" t="s">
        <v>31</v>
      </c>
      <c r="N147" t="s">
        <v>31</v>
      </c>
      <c r="O147" t="s">
        <v>1424</v>
      </c>
      <c r="P147" t="s">
        <v>1425</v>
      </c>
      <c r="Q147" s="22" t="s">
        <v>1403</v>
      </c>
      <c r="S147" s="22">
        <f>114*0.4</f>
        <v>45.6</v>
      </c>
      <c r="T147" s="22" t="s">
        <v>218</v>
      </c>
      <c r="U147" s="22">
        <f>S147/38.3</f>
        <v>1.1906005221932117</v>
      </c>
      <c r="V147" s="22" t="s">
        <v>219</v>
      </c>
    </row>
    <row r="148" spans="1:22" ht="15.75">
      <c r="A148" t="s">
        <v>380</v>
      </c>
      <c r="B148" s="23">
        <f>-1</f>
        <v>-1</v>
      </c>
      <c r="D148" t="s">
        <v>37</v>
      </c>
      <c r="E148" s="47" t="s">
        <v>40</v>
      </c>
      <c r="F148" s="42" t="s">
        <v>1389</v>
      </c>
      <c r="G148" t="s">
        <v>58</v>
      </c>
      <c r="H148" t="s">
        <v>33</v>
      </c>
      <c r="I148">
        <v>0</v>
      </c>
      <c r="J148" t="s">
        <v>31</v>
      </c>
      <c r="K148" t="s">
        <v>31</v>
      </c>
      <c r="L148" t="s">
        <v>31</v>
      </c>
      <c r="M148" t="s">
        <v>31</v>
      </c>
      <c r="N148" t="s">
        <v>31</v>
      </c>
      <c r="O148" s="17"/>
      <c r="P148" s="42" t="s">
        <v>1426</v>
      </c>
    </row>
    <row r="149" spans="1:22" s="41" customFormat="1" ht="15.75">
      <c r="A149" s="38" t="s">
        <v>5</v>
      </c>
      <c r="B149" s="38" t="s">
        <v>1427</v>
      </c>
      <c r="C149" s="38"/>
      <c r="D149" s="39"/>
      <c r="E149" s="40"/>
      <c r="F149" s="40"/>
      <c r="G149" s="40"/>
      <c r="H149" s="40"/>
      <c r="I149" s="40"/>
      <c r="J149" s="40"/>
      <c r="K149" s="40"/>
      <c r="L149" s="40"/>
      <c r="M149" s="40"/>
      <c r="N149" s="40"/>
      <c r="O149" s="40"/>
      <c r="P149" s="40"/>
    </row>
    <row r="150" spans="1:22">
      <c r="A150" s="42" t="s">
        <v>7</v>
      </c>
      <c r="B150" s="42" t="s">
        <v>1349</v>
      </c>
      <c r="C150" s="42"/>
      <c r="D150" s="42"/>
      <c r="E150" s="42"/>
      <c r="F150" s="42"/>
      <c r="G150" s="42"/>
      <c r="H150" s="42"/>
      <c r="I150" s="42"/>
      <c r="J150" s="42"/>
      <c r="K150" s="42"/>
      <c r="L150" s="42"/>
      <c r="M150" s="42"/>
      <c r="N150" s="42"/>
      <c r="O150" s="42"/>
      <c r="P150" s="42"/>
    </row>
    <row r="151" spans="1:22">
      <c r="A151" s="42" t="s">
        <v>9</v>
      </c>
      <c r="B151" s="43" t="s">
        <v>1428</v>
      </c>
      <c r="C151" s="42"/>
      <c r="D151" s="42"/>
      <c r="E151" s="42"/>
      <c r="F151" s="42"/>
      <c r="G151" s="42"/>
      <c r="H151" s="42"/>
      <c r="I151" s="42"/>
      <c r="J151" s="42"/>
      <c r="K151" s="42"/>
      <c r="L151" s="42"/>
      <c r="M151" s="42"/>
      <c r="N151" s="42"/>
      <c r="O151" s="42"/>
      <c r="P151" s="42"/>
    </row>
    <row r="152" spans="1:22">
      <c r="A152" s="42" t="s">
        <v>11</v>
      </c>
      <c r="B152" s="42" t="s">
        <v>1388</v>
      </c>
      <c r="C152" s="42"/>
      <c r="D152" s="42"/>
      <c r="E152" s="42"/>
      <c r="F152" s="42"/>
      <c r="G152" s="42"/>
      <c r="H152" s="42"/>
      <c r="I152" s="42"/>
      <c r="J152" s="42"/>
      <c r="K152" s="42"/>
      <c r="L152" s="42"/>
      <c r="M152" s="42"/>
      <c r="N152" s="42"/>
      <c r="O152" s="42"/>
      <c r="P152" s="42"/>
    </row>
    <row r="153" spans="1:22">
      <c r="A153" s="42" t="s">
        <v>13</v>
      </c>
      <c r="B153" s="42" t="s">
        <v>58</v>
      </c>
      <c r="C153" s="42"/>
      <c r="D153" s="42"/>
      <c r="E153" s="42"/>
      <c r="F153" s="42"/>
      <c r="G153" s="42"/>
      <c r="H153" s="42"/>
      <c r="I153" s="42"/>
      <c r="J153" s="42"/>
      <c r="K153" s="42"/>
      <c r="L153" s="42"/>
      <c r="M153" s="42"/>
      <c r="N153" s="42"/>
      <c r="O153" s="42"/>
      <c r="P153" s="42"/>
    </row>
    <row r="154" spans="1:22">
      <c r="A154" s="42" t="s">
        <v>15</v>
      </c>
      <c r="B154" s="42">
        <v>1</v>
      </c>
      <c r="C154" s="42"/>
      <c r="D154" s="42"/>
      <c r="E154" s="42"/>
      <c r="F154" s="42"/>
      <c r="G154" s="42"/>
      <c r="H154" s="42"/>
      <c r="I154" s="42"/>
      <c r="J154" s="42"/>
      <c r="K154" s="42"/>
      <c r="L154" s="42"/>
      <c r="M154" s="42"/>
      <c r="N154" s="42"/>
      <c r="O154" s="42"/>
      <c r="P154" s="42"/>
    </row>
    <row r="155" spans="1:22">
      <c r="A155" s="42" t="s">
        <v>16</v>
      </c>
      <c r="B155" s="42" t="s">
        <v>17</v>
      </c>
      <c r="C155" s="42"/>
      <c r="D155" s="42"/>
      <c r="E155" s="42"/>
      <c r="F155" s="42"/>
      <c r="G155" s="42"/>
      <c r="H155" s="42"/>
      <c r="I155" s="42"/>
      <c r="J155" s="42"/>
      <c r="K155" s="42"/>
      <c r="L155" s="42"/>
      <c r="M155" s="42"/>
      <c r="N155" s="42"/>
      <c r="O155" s="42"/>
      <c r="P155" s="42"/>
    </row>
    <row r="156" spans="1:22" ht="15.75">
      <c r="A156" s="42" t="s">
        <v>18</v>
      </c>
      <c r="B156" s="44" t="s">
        <v>37</v>
      </c>
      <c r="C156" s="42"/>
      <c r="D156" s="42"/>
      <c r="E156" s="42" t="s">
        <v>197</v>
      </c>
      <c r="F156" s="42"/>
      <c r="G156" s="42"/>
      <c r="H156" s="42"/>
      <c r="I156" s="42"/>
      <c r="J156" s="42"/>
      <c r="K156" s="42"/>
      <c r="L156" s="42"/>
      <c r="M156" s="42"/>
      <c r="N156" s="42"/>
      <c r="O156" s="42"/>
      <c r="P156" s="42"/>
    </row>
    <row r="157" spans="1:22" ht="15.75">
      <c r="A157" s="45" t="s">
        <v>19</v>
      </c>
      <c r="B157" s="42"/>
      <c r="C157" s="42"/>
      <c r="D157" s="42"/>
      <c r="E157" s="42"/>
      <c r="F157" s="42"/>
      <c r="G157" s="42"/>
      <c r="H157" s="42"/>
      <c r="I157" s="42"/>
      <c r="J157" s="42"/>
      <c r="K157" s="42"/>
      <c r="L157" s="42"/>
      <c r="M157" s="42"/>
      <c r="N157" s="42"/>
      <c r="O157" s="42"/>
      <c r="P157" s="42"/>
    </row>
    <row r="158" spans="1:22" ht="15.75">
      <c r="A158" s="45" t="s">
        <v>20</v>
      </c>
      <c r="B158" s="45" t="s">
        <v>21</v>
      </c>
      <c r="C158" s="45" t="s">
        <v>198</v>
      </c>
      <c r="D158" s="45" t="s">
        <v>18</v>
      </c>
      <c r="E158" s="45" t="s">
        <v>22</v>
      </c>
      <c r="F158" s="45" t="s">
        <v>7</v>
      </c>
      <c r="G158" s="45" t="s">
        <v>13</v>
      </c>
      <c r="H158" s="45" t="s">
        <v>16</v>
      </c>
      <c r="I158" s="45" t="s">
        <v>23</v>
      </c>
      <c r="J158" s="45" t="s">
        <v>24</v>
      </c>
      <c r="K158" s="45" t="s">
        <v>25</v>
      </c>
      <c r="L158" s="45" t="s">
        <v>26</v>
      </c>
      <c r="M158" s="45" t="s">
        <v>27</v>
      </c>
      <c r="N158" s="45" t="s">
        <v>28</v>
      </c>
      <c r="O158" s="45" t="s">
        <v>11</v>
      </c>
      <c r="P158" s="45" t="s">
        <v>199</v>
      </c>
    </row>
    <row r="159" spans="1:22" ht="15.75">
      <c r="A159" s="44" t="str">
        <f>B149</f>
        <v>treatment of system, frunishing and, operative equipment, airframe, PEMFC-bat, Medium-Term</v>
      </c>
      <c r="B159" s="44">
        <v>1</v>
      </c>
      <c r="C159" s="44"/>
      <c r="D159" s="44" t="s">
        <v>37</v>
      </c>
      <c r="E159" s="42" t="s">
        <v>2</v>
      </c>
      <c r="F159" s="42" t="s">
        <v>1389</v>
      </c>
      <c r="G159" s="44" t="s">
        <v>58</v>
      </c>
      <c r="H159" s="42" t="s">
        <v>30</v>
      </c>
      <c r="I159" s="42">
        <v>0</v>
      </c>
      <c r="J159" s="44" t="s">
        <v>31</v>
      </c>
      <c r="K159" s="44" t="s">
        <v>31</v>
      </c>
      <c r="L159" s="44" t="s">
        <v>31</v>
      </c>
      <c r="M159" s="44" t="s">
        <v>31</v>
      </c>
      <c r="N159" s="44" t="s">
        <v>31</v>
      </c>
      <c r="O159" s="44"/>
      <c r="P159" s="42"/>
    </row>
    <row r="160" spans="1:22" ht="15.75">
      <c r="A160" t="str">
        <f>B91</f>
        <v>treatment of aluminium, fuselage, airframe, PEMFC-bat, Medium-Term</v>
      </c>
      <c r="B160">
        <v>430.15800000000013</v>
      </c>
      <c r="D160" s="44" t="s">
        <v>37</v>
      </c>
      <c r="E160" s="42" t="s">
        <v>2</v>
      </c>
      <c r="F160" s="42" t="s">
        <v>1389</v>
      </c>
      <c r="G160" s="44" t="s">
        <v>58</v>
      </c>
      <c r="H160" s="42" t="s">
        <v>30</v>
      </c>
      <c r="I160" s="42">
        <v>0</v>
      </c>
      <c r="J160" s="44" t="s">
        <v>31</v>
      </c>
      <c r="K160" s="44" t="s">
        <v>31</v>
      </c>
      <c r="L160" s="44" t="s">
        <v>31</v>
      </c>
      <c r="M160" s="44" t="s">
        <v>31</v>
      </c>
      <c r="N160" s="44" t="s">
        <v>31</v>
      </c>
      <c r="O160" s="44" t="s">
        <v>1429</v>
      </c>
    </row>
    <row r="161" spans="1:16" ht="15.75">
      <c r="A161" s="47" t="s">
        <v>309</v>
      </c>
      <c r="B161" s="42">
        <v>420.41844479999997</v>
      </c>
      <c r="D161" t="s">
        <v>37</v>
      </c>
      <c r="E161" s="46" t="s">
        <v>40</v>
      </c>
      <c r="F161" s="42" t="s">
        <v>1389</v>
      </c>
      <c r="G161" t="s">
        <v>128</v>
      </c>
      <c r="H161" t="s">
        <v>33</v>
      </c>
      <c r="I161" s="42">
        <v>0</v>
      </c>
      <c r="J161" s="44" t="s">
        <v>31</v>
      </c>
      <c r="K161" s="44" t="s">
        <v>31</v>
      </c>
      <c r="L161" s="44" t="s">
        <v>31</v>
      </c>
      <c r="M161" s="44" t="s">
        <v>31</v>
      </c>
      <c r="N161" s="44" t="s">
        <v>31</v>
      </c>
      <c r="O161" s="44" t="s">
        <v>1430</v>
      </c>
    </row>
    <row r="162" spans="1:16">
      <c r="A162" t="s">
        <v>380</v>
      </c>
      <c r="B162" s="23">
        <v>-47.819000000000003</v>
      </c>
      <c r="D162" t="s">
        <v>37</v>
      </c>
      <c r="E162" s="47" t="s">
        <v>40</v>
      </c>
      <c r="F162" s="42" t="s">
        <v>1389</v>
      </c>
      <c r="G162" t="s">
        <v>58</v>
      </c>
      <c r="H162" t="s">
        <v>33</v>
      </c>
      <c r="I162">
        <v>0</v>
      </c>
      <c r="J162" t="s">
        <v>31</v>
      </c>
      <c r="K162" t="s">
        <v>31</v>
      </c>
      <c r="L162" t="s">
        <v>31</v>
      </c>
      <c r="M162" t="s">
        <v>31</v>
      </c>
      <c r="N162" t="s">
        <v>31</v>
      </c>
      <c r="O162" s="42" t="s">
        <v>1431</v>
      </c>
    </row>
    <row r="163" spans="1:16">
      <c r="A163" t="s">
        <v>380</v>
      </c>
      <c r="B163">
        <v>-7.3369999999999997</v>
      </c>
      <c r="D163" t="s">
        <v>37</v>
      </c>
      <c r="E163" s="47" t="s">
        <v>40</v>
      </c>
      <c r="F163" s="42" t="s">
        <v>1389</v>
      </c>
      <c r="G163" t="s">
        <v>58</v>
      </c>
      <c r="H163" t="s">
        <v>33</v>
      </c>
      <c r="I163">
        <v>0</v>
      </c>
      <c r="J163" t="s">
        <v>31</v>
      </c>
      <c r="K163" t="s">
        <v>31</v>
      </c>
      <c r="L163" t="s">
        <v>31</v>
      </c>
      <c r="M163" t="s">
        <v>31</v>
      </c>
      <c r="N163" t="s">
        <v>31</v>
      </c>
      <c r="O163" s="42" t="s">
        <v>1432</v>
      </c>
    </row>
    <row r="164" spans="1:16" ht="15.75">
      <c r="A164" s="47" t="s">
        <v>309</v>
      </c>
      <c r="B164" s="42">
        <v>133.7013024</v>
      </c>
      <c r="D164" t="s">
        <v>37</v>
      </c>
      <c r="E164" s="46" t="s">
        <v>40</v>
      </c>
      <c r="F164" s="42" t="s">
        <v>1389</v>
      </c>
      <c r="G164" t="s">
        <v>128</v>
      </c>
      <c r="H164" t="s">
        <v>33</v>
      </c>
      <c r="I164" s="42">
        <v>0</v>
      </c>
      <c r="J164" s="44" t="s">
        <v>31</v>
      </c>
      <c r="K164" s="44" t="s">
        <v>31</v>
      </c>
      <c r="L164" s="44" t="s">
        <v>31</v>
      </c>
      <c r="M164" s="44" t="s">
        <v>31</v>
      </c>
      <c r="N164" s="44" t="s">
        <v>31</v>
      </c>
      <c r="O164" s="44" t="s">
        <v>1433</v>
      </c>
    </row>
    <row r="165" spans="1:16" ht="15.75">
      <c r="A165" s="47" t="s">
        <v>309</v>
      </c>
      <c r="B165" s="42">
        <v>10</v>
      </c>
      <c r="D165" t="s">
        <v>37</v>
      </c>
      <c r="E165" s="46" t="s">
        <v>40</v>
      </c>
      <c r="F165" s="42" t="s">
        <v>1389</v>
      </c>
      <c r="G165" t="s">
        <v>128</v>
      </c>
      <c r="H165" t="s">
        <v>33</v>
      </c>
      <c r="I165" s="42">
        <v>0</v>
      </c>
      <c r="J165" s="44" t="s">
        <v>31</v>
      </c>
      <c r="K165" s="44" t="s">
        <v>31</v>
      </c>
      <c r="L165" s="44" t="s">
        <v>31</v>
      </c>
      <c r="M165" s="44" t="s">
        <v>31</v>
      </c>
      <c r="N165" s="44" t="s">
        <v>31</v>
      </c>
      <c r="O165" s="44" t="s">
        <v>1434</v>
      </c>
    </row>
    <row r="166" spans="1:16" ht="15.75">
      <c r="A166" s="47" t="s">
        <v>309</v>
      </c>
      <c r="B166" s="42">
        <v>10.5</v>
      </c>
      <c r="D166" t="s">
        <v>37</v>
      </c>
      <c r="E166" s="46" t="s">
        <v>40</v>
      </c>
      <c r="F166" s="42" t="s">
        <v>1389</v>
      </c>
      <c r="G166" t="s">
        <v>128</v>
      </c>
      <c r="H166" t="s">
        <v>33</v>
      </c>
      <c r="I166" s="42">
        <v>0</v>
      </c>
      <c r="J166" s="44" t="s">
        <v>31</v>
      </c>
      <c r="K166" s="44" t="s">
        <v>31</v>
      </c>
      <c r="L166" s="44" t="s">
        <v>31</v>
      </c>
      <c r="M166" s="44" t="s">
        <v>31</v>
      </c>
      <c r="N166" s="44" t="s">
        <v>31</v>
      </c>
      <c r="O166" s="44" t="s">
        <v>1435</v>
      </c>
    </row>
    <row r="167" spans="1:16" ht="15.75">
      <c r="A167" t="s">
        <v>380</v>
      </c>
      <c r="B167" s="42">
        <v>-6.26</v>
      </c>
      <c r="D167" t="s">
        <v>37</v>
      </c>
      <c r="E167" s="47" t="s">
        <v>40</v>
      </c>
      <c r="F167" s="42" t="s">
        <v>1389</v>
      </c>
      <c r="G167" t="s">
        <v>58</v>
      </c>
      <c r="H167" t="s">
        <v>33</v>
      </c>
      <c r="I167">
        <v>0</v>
      </c>
      <c r="J167" t="s">
        <v>31</v>
      </c>
      <c r="K167" t="s">
        <v>31</v>
      </c>
      <c r="L167" t="s">
        <v>31</v>
      </c>
      <c r="M167" t="s">
        <v>31</v>
      </c>
      <c r="N167" t="s">
        <v>31</v>
      </c>
      <c r="O167" s="44" t="s">
        <v>1436</v>
      </c>
    </row>
    <row r="168" spans="1:16">
      <c r="A168" t="s">
        <v>380</v>
      </c>
      <c r="B168" s="42">
        <v>-15.526999999999999</v>
      </c>
      <c r="D168" t="s">
        <v>37</v>
      </c>
      <c r="E168" s="47" t="s">
        <v>40</v>
      </c>
      <c r="F168" s="42" t="s">
        <v>1389</v>
      </c>
      <c r="G168" t="s">
        <v>58</v>
      </c>
      <c r="H168" t="s">
        <v>33</v>
      </c>
      <c r="I168">
        <v>0</v>
      </c>
      <c r="J168" t="s">
        <v>31</v>
      </c>
      <c r="K168" t="s">
        <v>31</v>
      </c>
      <c r="L168" t="s">
        <v>31</v>
      </c>
      <c r="M168" t="s">
        <v>31</v>
      </c>
      <c r="N168" t="s">
        <v>31</v>
      </c>
      <c r="O168" s="42" t="s">
        <v>1437</v>
      </c>
    </row>
    <row r="169" spans="1:16" s="56" customFormat="1" ht="15.75">
      <c r="A169" s="53" t="s">
        <v>5</v>
      </c>
      <c r="B169" s="53" t="s">
        <v>1438</v>
      </c>
      <c r="C169" s="53"/>
      <c r="D169" s="54"/>
      <c r="E169" s="55"/>
      <c r="F169" s="55"/>
      <c r="G169" s="55"/>
      <c r="H169" s="55"/>
      <c r="I169" s="55"/>
      <c r="J169" s="55"/>
      <c r="K169" s="55"/>
      <c r="L169" s="55"/>
      <c r="M169" s="55"/>
      <c r="N169" s="55"/>
      <c r="O169" s="55"/>
      <c r="P169" s="55"/>
    </row>
    <row r="170" spans="1:16">
      <c r="A170" s="42" t="s">
        <v>7</v>
      </c>
      <c r="B170" s="42" t="s">
        <v>1349</v>
      </c>
      <c r="C170" s="42"/>
      <c r="D170" s="42"/>
      <c r="E170" s="42"/>
      <c r="F170" s="42"/>
      <c r="G170" s="42"/>
      <c r="H170" s="42"/>
      <c r="I170" s="42"/>
      <c r="J170" s="42"/>
      <c r="K170" s="42"/>
      <c r="L170" s="42"/>
      <c r="M170" s="42"/>
      <c r="N170" s="42"/>
      <c r="O170" s="42"/>
      <c r="P170" s="42"/>
    </row>
    <row r="171" spans="1:16">
      <c r="A171" s="42" t="s">
        <v>9</v>
      </c>
      <c r="B171" s="43" t="s">
        <v>1439</v>
      </c>
      <c r="C171" s="42"/>
      <c r="D171" s="42"/>
      <c r="E171" s="42"/>
      <c r="F171" s="42"/>
      <c r="G171" s="42"/>
      <c r="H171" s="42"/>
      <c r="I171" s="42"/>
      <c r="J171" s="42"/>
      <c r="K171" s="42"/>
      <c r="L171" s="42"/>
      <c r="M171" s="42"/>
      <c r="N171" s="42"/>
      <c r="O171" s="42"/>
      <c r="P171" s="42"/>
    </row>
    <row r="172" spans="1:16">
      <c r="A172" s="42" t="s">
        <v>11</v>
      </c>
      <c r="B172" s="42" t="s">
        <v>1440</v>
      </c>
      <c r="C172" s="42"/>
      <c r="D172" s="42"/>
      <c r="E172" s="42"/>
      <c r="F172" s="42"/>
      <c r="G172" s="42"/>
      <c r="H172" s="42"/>
      <c r="I172" s="42"/>
      <c r="J172" s="42"/>
      <c r="K172" s="42"/>
      <c r="L172" s="42"/>
      <c r="M172" s="42"/>
      <c r="N172" s="42"/>
      <c r="O172" s="42"/>
      <c r="P172" s="42"/>
    </row>
    <row r="173" spans="1:16">
      <c r="A173" s="42" t="s">
        <v>13</v>
      </c>
      <c r="B173" s="42" t="s">
        <v>58</v>
      </c>
      <c r="C173" s="42"/>
      <c r="D173" s="42"/>
      <c r="E173" s="42"/>
      <c r="F173" s="42"/>
      <c r="G173" s="42"/>
      <c r="H173" s="42"/>
      <c r="I173" s="42"/>
      <c r="J173" s="42"/>
      <c r="K173" s="42"/>
      <c r="L173" s="42"/>
      <c r="M173" s="42"/>
      <c r="N173" s="42"/>
      <c r="O173" s="42"/>
      <c r="P173" s="42"/>
    </row>
    <row r="174" spans="1:16">
      <c r="A174" s="42" t="s">
        <v>15</v>
      </c>
      <c r="B174" s="42">
        <v>1</v>
      </c>
      <c r="C174" s="42"/>
      <c r="D174" s="42"/>
      <c r="E174" s="42"/>
      <c r="F174" s="42"/>
      <c r="G174" s="42"/>
      <c r="H174" s="42"/>
      <c r="I174" s="42"/>
      <c r="J174" s="42"/>
      <c r="K174" s="42"/>
      <c r="L174" s="42"/>
      <c r="M174" s="42"/>
      <c r="N174" s="42"/>
      <c r="O174" s="42"/>
      <c r="P174" s="42"/>
    </row>
    <row r="175" spans="1:16">
      <c r="A175" s="42" t="s">
        <v>16</v>
      </c>
      <c r="B175" s="42" t="s">
        <v>17</v>
      </c>
      <c r="C175" s="42"/>
      <c r="D175" s="42"/>
      <c r="E175" s="42"/>
      <c r="F175" s="42"/>
      <c r="G175" s="42"/>
      <c r="H175" s="42"/>
      <c r="I175" s="42"/>
      <c r="J175" s="42"/>
      <c r="K175" s="42"/>
      <c r="L175" s="42"/>
      <c r="M175" s="42"/>
      <c r="N175" s="42"/>
      <c r="O175" s="42"/>
      <c r="P175" s="42"/>
    </row>
    <row r="176" spans="1:16" ht="15.75">
      <c r="A176" s="42" t="s">
        <v>18</v>
      </c>
      <c r="B176" s="44" t="s">
        <v>18</v>
      </c>
      <c r="C176" s="42"/>
      <c r="D176" s="42"/>
      <c r="E176" s="42" t="s">
        <v>197</v>
      </c>
      <c r="F176" s="42"/>
      <c r="G176" s="42"/>
      <c r="H176" s="42"/>
      <c r="I176" s="42"/>
      <c r="J176" s="42"/>
      <c r="K176" s="42"/>
      <c r="L176" s="42"/>
      <c r="M176" s="42"/>
      <c r="N176" s="42"/>
      <c r="O176" s="42"/>
      <c r="P176" s="42"/>
    </row>
    <row r="177" spans="1:16" ht="15.75">
      <c r="A177" s="45" t="s">
        <v>19</v>
      </c>
      <c r="B177" s="42"/>
      <c r="C177" s="42"/>
      <c r="D177" s="42"/>
      <c r="E177" s="42"/>
      <c r="F177" s="42"/>
      <c r="G177" s="42"/>
      <c r="H177" s="42"/>
      <c r="I177" s="42"/>
      <c r="J177" s="42"/>
      <c r="K177" s="42"/>
      <c r="L177" s="42"/>
      <c r="M177" s="42"/>
      <c r="N177" s="42"/>
      <c r="O177" s="42"/>
      <c r="P177" s="42"/>
    </row>
    <row r="178" spans="1:16" ht="15.75">
      <c r="A178" s="45" t="s">
        <v>20</v>
      </c>
      <c r="B178" s="45" t="s">
        <v>21</v>
      </c>
      <c r="C178" s="45" t="s">
        <v>198</v>
      </c>
      <c r="D178" s="45" t="s">
        <v>18</v>
      </c>
      <c r="E178" s="45" t="s">
        <v>22</v>
      </c>
      <c r="F178" s="45" t="s">
        <v>7</v>
      </c>
      <c r="G178" s="45" t="s">
        <v>13</v>
      </c>
      <c r="H178" s="45" t="s">
        <v>16</v>
      </c>
      <c r="I178" s="45" t="s">
        <v>23</v>
      </c>
      <c r="J178" s="45" t="s">
        <v>24</v>
      </c>
      <c r="K178" s="45" t="s">
        <v>25</v>
      </c>
      <c r="L178" s="45" t="s">
        <v>26</v>
      </c>
      <c r="M178" s="45" t="s">
        <v>27</v>
      </c>
      <c r="N178" s="45" t="s">
        <v>28</v>
      </c>
      <c r="O178" s="45" t="s">
        <v>11</v>
      </c>
      <c r="P178" s="45" t="s">
        <v>199</v>
      </c>
    </row>
    <row r="179" spans="1:16" ht="15.75">
      <c r="A179" s="44" t="str">
        <f>B169</f>
        <v>treatment wing , airframe, PEMFC-bat, Medium-Term</v>
      </c>
      <c r="B179">
        <v>1</v>
      </c>
      <c r="C179" s="44"/>
      <c r="D179" s="44" t="s">
        <v>18</v>
      </c>
      <c r="E179" s="42" t="s">
        <v>2</v>
      </c>
      <c r="F179" s="42" t="s">
        <v>1389</v>
      </c>
      <c r="G179" s="44" t="s">
        <v>58</v>
      </c>
      <c r="H179" s="42" t="s">
        <v>30</v>
      </c>
      <c r="I179" s="42">
        <v>0</v>
      </c>
      <c r="J179" s="44" t="s">
        <v>31</v>
      </c>
      <c r="K179" s="44" t="s">
        <v>31</v>
      </c>
      <c r="L179" s="44" t="s">
        <v>31</v>
      </c>
      <c r="M179" s="44" t="s">
        <v>31</v>
      </c>
      <c r="N179" s="44" t="s">
        <v>31</v>
      </c>
      <c r="O179" s="44"/>
      <c r="P179" s="42"/>
    </row>
    <row r="180" spans="1:16" ht="15.75">
      <c r="A180" t="str">
        <f>B2</f>
        <v>treatment of aluminium, wing, airframe, PEMFC-bat, Medium-Term</v>
      </c>
      <c r="B180" s="64">
        <v>173.03039999999999</v>
      </c>
      <c r="C180" s="44"/>
      <c r="D180" s="44" t="s">
        <v>37</v>
      </c>
      <c r="E180" s="42" t="s">
        <v>2</v>
      </c>
      <c r="F180" s="42" t="s">
        <v>1389</v>
      </c>
      <c r="G180" s="44" t="s">
        <v>58</v>
      </c>
      <c r="H180" s="42" t="s">
        <v>33</v>
      </c>
      <c r="I180" s="42">
        <v>0</v>
      </c>
      <c r="J180" s="44" t="s">
        <v>31</v>
      </c>
      <c r="K180" s="44" t="s">
        <v>31</v>
      </c>
      <c r="L180" s="44" t="s">
        <v>31</v>
      </c>
      <c r="M180" s="44" t="s">
        <v>31</v>
      </c>
      <c r="N180" s="44" t="s">
        <v>31</v>
      </c>
    </row>
    <row r="181" spans="1:16" ht="15.75">
      <c r="A181" t="str">
        <f>B17</f>
        <v>treatment of CFRP, wing, airframe, PEMFC-bat, Medium-Term</v>
      </c>
      <c r="B181" s="64">
        <v>1895.674</v>
      </c>
      <c r="C181" s="44"/>
      <c r="D181" s="44" t="s">
        <v>37</v>
      </c>
      <c r="E181" s="42" t="s">
        <v>2</v>
      </c>
      <c r="F181" s="42" t="s">
        <v>1389</v>
      </c>
      <c r="G181" s="44" t="s">
        <v>58</v>
      </c>
      <c r="H181" s="42" t="s">
        <v>33</v>
      </c>
      <c r="I181" s="42">
        <v>0</v>
      </c>
      <c r="J181" s="44" t="s">
        <v>31</v>
      </c>
      <c r="K181" s="44" t="s">
        <v>31</v>
      </c>
      <c r="L181" s="44" t="s">
        <v>31</v>
      </c>
      <c r="M181" s="44" t="s">
        <v>31</v>
      </c>
      <c r="N181" s="44" t="s">
        <v>31</v>
      </c>
    </row>
    <row r="182" spans="1:16" ht="15.75">
      <c r="A182" t="str">
        <f>B32</f>
        <v>treatment of steel, wing, airframe, PEMFC-bat, Medium-Term</v>
      </c>
      <c r="B182" s="64">
        <v>63.759900000000002</v>
      </c>
      <c r="C182" s="44"/>
      <c r="D182" s="44" t="s">
        <v>37</v>
      </c>
      <c r="E182" s="42" t="s">
        <v>2</v>
      </c>
      <c r="F182" s="42" t="s">
        <v>1389</v>
      </c>
      <c r="G182" s="44" t="s">
        <v>58</v>
      </c>
      <c r="H182" s="42" t="s">
        <v>33</v>
      </c>
      <c r="I182" s="42">
        <v>0</v>
      </c>
      <c r="J182" s="44" t="s">
        <v>31</v>
      </c>
      <c r="K182" s="44" t="s">
        <v>31</v>
      </c>
      <c r="L182" s="44" t="s">
        <v>31</v>
      </c>
      <c r="M182" s="44" t="s">
        <v>31</v>
      </c>
      <c r="N182" s="44" t="s">
        <v>31</v>
      </c>
    </row>
    <row r="183" spans="1:16" ht="15.75">
      <c r="A183" t="str">
        <f>B46</f>
        <v>treatment of titanium, wing, airframe, PEMFC-bat, Medium-Term</v>
      </c>
      <c r="B183" s="64">
        <v>120.5355</v>
      </c>
      <c r="C183" s="44"/>
      <c r="D183" s="44" t="s">
        <v>37</v>
      </c>
      <c r="E183" s="42" t="s">
        <v>2</v>
      </c>
      <c r="F183" s="42" t="s">
        <v>1389</v>
      </c>
      <c r="G183" s="44" t="s">
        <v>58</v>
      </c>
      <c r="H183" s="42" t="s">
        <v>33</v>
      </c>
      <c r="I183" s="42">
        <v>0</v>
      </c>
      <c r="J183" s="44" t="s">
        <v>31</v>
      </c>
      <c r="K183" s="44" t="s">
        <v>31</v>
      </c>
      <c r="L183" s="44" t="s">
        <v>31</v>
      </c>
      <c r="M183" s="44" t="s">
        <v>31</v>
      </c>
      <c r="N183" s="44" t="s">
        <v>31</v>
      </c>
    </row>
    <row r="184" spans="1:16" s="56" customFormat="1" ht="15.75">
      <c r="A184" s="53" t="s">
        <v>5</v>
      </c>
      <c r="B184" s="53" t="s">
        <v>1441</v>
      </c>
      <c r="C184" s="53"/>
      <c r="D184" s="54"/>
      <c r="E184" s="55"/>
      <c r="F184" s="55"/>
      <c r="G184" s="55"/>
      <c r="H184" s="55"/>
      <c r="I184" s="55"/>
      <c r="J184" s="55"/>
      <c r="K184" s="55"/>
      <c r="L184" s="55"/>
      <c r="M184" s="55"/>
      <c r="N184" s="55"/>
      <c r="O184" s="55"/>
      <c r="P184" s="55"/>
    </row>
    <row r="185" spans="1:16">
      <c r="A185" s="42" t="s">
        <v>7</v>
      </c>
      <c r="B185" s="42" t="s">
        <v>1349</v>
      </c>
      <c r="C185" s="42"/>
      <c r="D185" s="42"/>
      <c r="E185" s="42"/>
      <c r="F185" s="42"/>
      <c r="G185" s="42"/>
      <c r="H185" s="42"/>
      <c r="I185" s="42"/>
      <c r="J185" s="42"/>
      <c r="K185" s="42"/>
      <c r="L185" s="42"/>
      <c r="M185" s="42"/>
      <c r="N185" s="42"/>
      <c r="O185" s="42"/>
      <c r="P185" s="42"/>
    </row>
    <row r="186" spans="1:16">
      <c r="A186" s="42" t="s">
        <v>9</v>
      </c>
      <c r="B186" s="43" t="s">
        <v>1442</v>
      </c>
      <c r="C186" s="42"/>
      <c r="D186" s="42"/>
      <c r="E186" s="42"/>
      <c r="F186" s="42"/>
      <c r="G186" s="42"/>
      <c r="H186" s="42"/>
      <c r="I186" s="42"/>
      <c r="J186" s="42"/>
      <c r="K186" s="42"/>
      <c r="L186" s="42"/>
      <c r="M186" s="42"/>
      <c r="N186" s="42"/>
      <c r="O186" s="42"/>
      <c r="P186" s="42"/>
    </row>
    <row r="187" spans="1:16">
      <c r="A187" s="42" t="s">
        <v>11</v>
      </c>
      <c r="B187" s="42" t="s">
        <v>1440</v>
      </c>
      <c r="C187" s="42"/>
      <c r="D187" s="42"/>
      <c r="E187" s="42"/>
      <c r="F187" s="42"/>
      <c r="G187" s="42"/>
      <c r="H187" s="42"/>
      <c r="I187" s="42"/>
      <c r="J187" s="42"/>
      <c r="K187" s="42"/>
      <c r="L187" s="42"/>
      <c r="M187" s="42"/>
      <c r="N187" s="42"/>
      <c r="O187" s="42"/>
      <c r="P187" s="42"/>
    </row>
    <row r="188" spans="1:16">
      <c r="A188" s="42" t="s">
        <v>13</v>
      </c>
      <c r="B188" s="42" t="s">
        <v>58</v>
      </c>
      <c r="C188" s="42"/>
      <c r="D188" s="42"/>
      <c r="E188" s="42"/>
      <c r="F188" s="42"/>
      <c r="G188" s="42"/>
      <c r="H188" s="42"/>
      <c r="I188" s="42"/>
      <c r="J188" s="42"/>
      <c r="K188" s="42"/>
      <c r="L188" s="42"/>
      <c r="M188" s="42"/>
      <c r="N188" s="42"/>
      <c r="O188" s="42"/>
      <c r="P188" s="42"/>
    </row>
    <row r="189" spans="1:16">
      <c r="A189" s="42" t="s">
        <v>15</v>
      </c>
      <c r="B189" s="42">
        <v>1</v>
      </c>
      <c r="C189" s="42"/>
      <c r="D189" s="42"/>
      <c r="E189" s="42"/>
      <c r="F189" s="42"/>
      <c r="G189" s="42"/>
      <c r="H189" s="42"/>
      <c r="I189" s="42"/>
      <c r="J189" s="42"/>
      <c r="K189" s="42"/>
      <c r="L189" s="42"/>
      <c r="M189" s="42"/>
      <c r="N189" s="42"/>
      <c r="O189" s="42"/>
      <c r="P189" s="42"/>
    </row>
    <row r="190" spans="1:16">
      <c r="A190" s="42" t="s">
        <v>16</v>
      </c>
      <c r="B190" s="42" t="s">
        <v>17</v>
      </c>
      <c r="C190" s="42"/>
      <c r="D190" s="42"/>
      <c r="E190" s="42"/>
      <c r="F190" s="42"/>
      <c r="G190" s="42"/>
      <c r="H190" s="42"/>
      <c r="I190" s="42"/>
      <c r="J190" s="42"/>
      <c r="K190" s="42"/>
      <c r="L190" s="42"/>
      <c r="M190" s="42"/>
      <c r="N190" s="42"/>
      <c r="O190" s="42"/>
      <c r="P190" s="42"/>
    </row>
    <row r="191" spans="1:16" ht="15.75">
      <c r="A191" s="42" t="s">
        <v>18</v>
      </c>
      <c r="B191" s="44" t="s">
        <v>18</v>
      </c>
      <c r="C191" s="42"/>
      <c r="D191" s="42"/>
      <c r="E191" s="42" t="s">
        <v>197</v>
      </c>
      <c r="F191" s="42"/>
      <c r="G191" s="42"/>
      <c r="H191" s="42"/>
      <c r="I191" s="42"/>
      <c r="J191" s="42"/>
      <c r="K191" s="42"/>
      <c r="L191" s="42"/>
      <c r="M191" s="42"/>
      <c r="N191" s="42"/>
      <c r="O191" s="42"/>
      <c r="P191" s="42"/>
    </row>
    <row r="192" spans="1:16" ht="15.75">
      <c r="A192" s="45" t="s">
        <v>19</v>
      </c>
      <c r="B192" s="42"/>
      <c r="C192" s="42"/>
      <c r="D192" s="42"/>
      <c r="E192" s="42"/>
      <c r="F192" s="42"/>
      <c r="G192" s="42"/>
      <c r="H192" s="42"/>
      <c r="I192" s="42"/>
      <c r="J192" s="42"/>
      <c r="K192" s="42"/>
      <c r="L192" s="42"/>
      <c r="M192" s="42"/>
      <c r="N192" s="42"/>
      <c r="O192" s="42"/>
      <c r="P192" s="42"/>
    </row>
    <row r="193" spans="1:16" ht="15.75">
      <c r="A193" s="45" t="s">
        <v>20</v>
      </c>
      <c r="B193" s="45" t="s">
        <v>21</v>
      </c>
      <c r="C193" s="45" t="s">
        <v>198</v>
      </c>
      <c r="D193" s="45" t="s">
        <v>18</v>
      </c>
      <c r="E193" s="45" t="s">
        <v>22</v>
      </c>
      <c r="F193" s="45" t="s">
        <v>7</v>
      </c>
      <c r="G193" s="45" t="s">
        <v>13</v>
      </c>
      <c r="H193" s="45" t="s">
        <v>16</v>
      </c>
      <c r="I193" s="45" t="s">
        <v>23</v>
      </c>
      <c r="J193" s="45" t="s">
        <v>24</v>
      </c>
      <c r="K193" s="45" t="s">
        <v>25</v>
      </c>
      <c r="L193" s="45" t="s">
        <v>26</v>
      </c>
      <c r="M193" s="45" t="s">
        <v>27</v>
      </c>
      <c r="N193" s="45" t="s">
        <v>28</v>
      </c>
      <c r="O193" s="45" t="s">
        <v>11</v>
      </c>
      <c r="P193" s="45" t="s">
        <v>199</v>
      </c>
    </row>
    <row r="194" spans="1:16" ht="15.75">
      <c r="A194" s="44" t="str">
        <f>B184</f>
        <v>treatment tail , airframe, PEMFC-bat, Medium-Term</v>
      </c>
      <c r="B194">
        <v>1</v>
      </c>
      <c r="C194" s="44"/>
      <c r="D194" s="44" t="s">
        <v>18</v>
      </c>
      <c r="E194" s="42" t="s">
        <v>2</v>
      </c>
      <c r="F194" s="42" t="s">
        <v>1389</v>
      </c>
      <c r="G194" s="44" t="s">
        <v>58</v>
      </c>
      <c r="H194" s="42" t="s">
        <v>30</v>
      </c>
      <c r="I194" s="42">
        <v>0</v>
      </c>
      <c r="J194" s="44" t="s">
        <v>31</v>
      </c>
      <c r="K194" s="44" t="s">
        <v>31</v>
      </c>
      <c r="L194" s="44" t="s">
        <v>31</v>
      </c>
      <c r="M194" s="44" t="s">
        <v>31</v>
      </c>
      <c r="N194" s="44" t="s">
        <v>31</v>
      </c>
      <c r="O194" s="44"/>
      <c r="P194" s="42"/>
    </row>
    <row r="195" spans="1:16" ht="15.75">
      <c r="A195" t="str">
        <f>B61</f>
        <v>treatment of aluminium, tail, airframe, PEMFC-bat, Medium-Term</v>
      </c>
      <c r="B195" s="64">
        <v>25.734760000000001</v>
      </c>
      <c r="D195" s="44" t="s">
        <v>37</v>
      </c>
      <c r="E195" s="42" t="s">
        <v>2</v>
      </c>
      <c r="F195" s="42" t="s">
        <v>1389</v>
      </c>
      <c r="G195" s="44" t="s">
        <v>58</v>
      </c>
      <c r="H195" s="42" t="s">
        <v>33</v>
      </c>
      <c r="I195" s="42">
        <v>0</v>
      </c>
      <c r="J195" s="44" t="s">
        <v>31</v>
      </c>
      <c r="K195" s="44" t="s">
        <v>31</v>
      </c>
      <c r="L195" s="44" t="s">
        <v>31</v>
      </c>
      <c r="M195" s="44" t="s">
        <v>31</v>
      </c>
      <c r="N195" s="44" t="s">
        <v>31</v>
      </c>
    </row>
    <row r="196" spans="1:16" ht="15.75">
      <c r="A196" t="str">
        <f>B76</f>
        <v>treatment of composites, tail, airframe, PEMFC-bat, Medium-Term</v>
      </c>
      <c r="B196" s="64">
        <v>425.38319999999999</v>
      </c>
      <c r="D196" s="44" t="s">
        <v>37</v>
      </c>
      <c r="E196" s="42" t="s">
        <v>2</v>
      </c>
      <c r="F196" s="42" t="s">
        <v>1389</v>
      </c>
      <c r="G196" s="44" t="s">
        <v>58</v>
      </c>
      <c r="H196" s="42" t="s">
        <v>33</v>
      </c>
      <c r="I196" s="42">
        <v>0</v>
      </c>
      <c r="J196" s="44" t="s">
        <v>31</v>
      </c>
      <c r="K196" s="44" t="s">
        <v>31</v>
      </c>
      <c r="L196" s="44" t="s">
        <v>31</v>
      </c>
      <c r="M196" s="44" t="s">
        <v>31</v>
      </c>
      <c r="N196" s="44" t="s">
        <v>31</v>
      </c>
      <c r="O196" s="44" t="s">
        <v>1443</v>
      </c>
    </row>
    <row r="197" spans="1:16" ht="15.75">
      <c r="A197" t="str">
        <f>B76</f>
        <v>treatment of composites, tail, airframe, PEMFC-bat, Medium-Term</v>
      </c>
      <c r="B197" s="64">
        <v>160.88210000000001</v>
      </c>
      <c r="D197" s="44" t="s">
        <v>37</v>
      </c>
      <c r="E197" s="42" t="s">
        <v>2</v>
      </c>
      <c r="F197" s="42" t="s">
        <v>1389</v>
      </c>
      <c r="G197" s="44" t="s">
        <v>58</v>
      </c>
      <c r="H197" s="42" t="s">
        <v>33</v>
      </c>
      <c r="I197" s="42">
        <v>0</v>
      </c>
      <c r="J197" s="44" t="s">
        <v>31</v>
      </c>
      <c r="K197" s="44" t="s">
        <v>31</v>
      </c>
      <c r="L197" s="44" t="s">
        <v>31</v>
      </c>
      <c r="M197" s="44" t="s">
        <v>31</v>
      </c>
      <c r="N197" s="44" t="s">
        <v>31</v>
      </c>
      <c r="O197" s="44" t="s">
        <v>1444</v>
      </c>
    </row>
    <row r="198" spans="1:16" s="56" customFormat="1" ht="15.75">
      <c r="A198" s="53" t="s">
        <v>5</v>
      </c>
      <c r="B198" s="53" t="s">
        <v>1445</v>
      </c>
      <c r="C198" s="53"/>
      <c r="D198" s="54"/>
      <c r="E198" s="55"/>
      <c r="F198" s="55"/>
      <c r="G198" s="55"/>
      <c r="H198" s="55"/>
      <c r="I198" s="55"/>
      <c r="J198" s="55"/>
      <c r="K198" s="55"/>
      <c r="L198" s="55"/>
      <c r="M198" s="55"/>
      <c r="N198" s="55"/>
      <c r="O198" s="55"/>
      <c r="P198" s="55"/>
    </row>
    <row r="199" spans="1:16">
      <c r="A199" s="42" t="s">
        <v>7</v>
      </c>
      <c r="B199" s="42" t="s">
        <v>1349</v>
      </c>
      <c r="C199" s="42"/>
      <c r="D199" s="42"/>
      <c r="E199" s="42"/>
      <c r="F199" s="42"/>
      <c r="G199" s="42"/>
      <c r="H199" s="42"/>
      <c r="I199" s="42"/>
      <c r="J199" s="42"/>
      <c r="K199" s="42"/>
      <c r="L199" s="42"/>
      <c r="M199" s="42"/>
      <c r="N199" s="42"/>
      <c r="O199" s="42"/>
      <c r="P199" s="42"/>
    </row>
    <row r="200" spans="1:16">
      <c r="A200" s="42" t="s">
        <v>9</v>
      </c>
      <c r="B200" s="43" t="s">
        <v>1446</v>
      </c>
      <c r="C200" s="42"/>
      <c r="D200" s="42"/>
      <c r="E200" s="42"/>
      <c r="F200" s="42"/>
      <c r="G200" s="42"/>
      <c r="H200" s="42"/>
      <c r="I200" s="42"/>
      <c r="J200" s="42"/>
      <c r="K200" s="42"/>
      <c r="L200" s="42"/>
      <c r="M200" s="42"/>
      <c r="N200" s="42"/>
      <c r="O200" s="42"/>
      <c r="P200" s="42"/>
    </row>
    <row r="201" spans="1:16">
      <c r="A201" s="42" t="s">
        <v>11</v>
      </c>
      <c r="B201" s="42" t="s">
        <v>1440</v>
      </c>
      <c r="C201" s="42"/>
      <c r="D201" s="42"/>
      <c r="E201" s="42"/>
      <c r="F201" s="42"/>
      <c r="G201" s="42"/>
      <c r="H201" s="42"/>
      <c r="I201" s="42"/>
      <c r="J201" s="42"/>
      <c r="K201" s="42"/>
      <c r="L201" s="42"/>
      <c r="M201" s="42"/>
      <c r="N201" s="42"/>
      <c r="O201" s="42"/>
      <c r="P201" s="42"/>
    </row>
    <row r="202" spans="1:16">
      <c r="A202" s="42" t="s">
        <v>13</v>
      </c>
      <c r="B202" s="42" t="s">
        <v>58</v>
      </c>
      <c r="C202" s="42"/>
      <c r="D202" s="42"/>
      <c r="E202" s="42"/>
      <c r="F202" s="42"/>
      <c r="G202" s="42"/>
      <c r="H202" s="42"/>
      <c r="I202" s="42"/>
      <c r="J202" s="42"/>
      <c r="K202" s="42"/>
      <c r="L202" s="42"/>
      <c r="M202" s="42"/>
      <c r="N202" s="42"/>
      <c r="O202" s="42"/>
      <c r="P202" s="42"/>
    </row>
    <row r="203" spans="1:16">
      <c r="A203" s="42" t="s">
        <v>15</v>
      </c>
      <c r="B203" s="42">
        <v>1</v>
      </c>
      <c r="C203" s="42"/>
      <c r="D203" s="42"/>
      <c r="E203" s="42"/>
      <c r="F203" s="42"/>
      <c r="G203" s="42"/>
      <c r="H203" s="42"/>
      <c r="I203" s="42"/>
      <c r="J203" s="42"/>
      <c r="K203" s="42"/>
      <c r="L203" s="42"/>
      <c r="M203" s="42"/>
      <c r="N203" s="42"/>
      <c r="O203" s="42"/>
      <c r="P203" s="42"/>
    </row>
    <row r="204" spans="1:16">
      <c r="A204" s="42" t="s">
        <v>16</v>
      </c>
      <c r="B204" s="42" t="s">
        <v>17</v>
      </c>
      <c r="C204" s="42"/>
      <c r="D204" s="42"/>
      <c r="E204" s="42"/>
      <c r="F204" s="42"/>
      <c r="G204" s="42"/>
      <c r="H204" s="42"/>
      <c r="I204" s="42"/>
      <c r="J204" s="42"/>
      <c r="K204" s="42"/>
      <c r="L204" s="42"/>
      <c r="M204" s="42"/>
      <c r="N204" s="42"/>
      <c r="O204" s="42"/>
      <c r="P204" s="42"/>
    </row>
    <row r="205" spans="1:16" ht="15.75">
      <c r="A205" s="42" t="s">
        <v>18</v>
      </c>
      <c r="B205" s="44" t="s">
        <v>18</v>
      </c>
      <c r="C205" s="42"/>
      <c r="D205" s="42"/>
      <c r="E205" s="42" t="s">
        <v>197</v>
      </c>
      <c r="F205" s="42"/>
      <c r="G205" s="42"/>
      <c r="H205" s="42"/>
      <c r="I205" s="42"/>
      <c r="J205" s="42"/>
      <c r="K205" s="42"/>
      <c r="L205" s="42"/>
      <c r="M205" s="42"/>
      <c r="N205" s="42"/>
      <c r="O205" s="42"/>
      <c r="P205" s="42"/>
    </row>
    <row r="206" spans="1:16" ht="15.75">
      <c r="A206" s="45" t="s">
        <v>19</v>
      </c>
      <c r="B206" s="42"/>
      <c r="C206" s="42"/>
      <c r="D206" s="42"/>
      <c r="E206" s="42"/>
      <c r="F206" s="42"/>
      <c r="G206" s="42"/>
      <c r="H206" s="42"/>
      <c r="I206" s="42"/>
      <c r="J206" s="42"/>
      <c r="K206" s="42"/>
      <c r="L206" s="42"/>
      <c r="M206" s="42"/>
      <c r="N206" s="42"/>
      <c r="O206" s="42"/>
      <c r="P206" s="42"/>
    </row>
    <row r="207" spans="1:16" ht="15.75">
      <c r="A207" s="45" t="s">
        <v>20</v>
      </c>
      <c r="B207" s="45" t="s">
        <v>21</v>
      </c>
      <c r="C207" s="45" t="s">
        <v>198</v>
      </c>
      <c r="D207" s="45" t="s">
        <v>18</v>
      </c>
      <c r="E207" s="45" t="s">
        <v>22</v>
      </c>
      <c r="F207" s="45" t="s">
        <v>7</v>
      </c>
      <c r="G207" s="45" t="s">
        <v>13</v>
      </c>
      <c r="H207" s="45" t="s">
        <v>16</v>
      </c>
      <c r="I207" s="45" t="s">
        <v>23</v>
      </c>
      <c r="J207" s="45" t="s">
        <v>24</v>
      </c>
      <c r="K207" s="45" t="s">
        <v>25</v>
      </c>
      <c r="L207" s="45" t="s">
        <v>26</v>
      </c>
      <c r="M207" s="45" t="s">
        <v>27</v>
      </c>
      <c r="N207" s="45" t="s">
        <v>28</v>
      </c>
      <c r="O207" s="45" t="s">
        <v>11</v>
      </c>
      <c r="P207" s="45" t="s">
        <v>199</v>
      </c>
    </row>
    <row r="208" spans="1:16" ht="15.75">
      <c r="A208" s="44" t="str">
        <f>B198</f>
        <v>treatment fuselage , airframe, PEMFC-bat, Medium-Term</v>
      </c>
      <c r="B208">
        <v>1</v>
      </c>
      <c r="C208" s="44"/>
      <c r="D208" s="44" t="s">
        <v>18</v>
      </c>
      <c r="E208" s="42" t="s">
        <v>2</v>
      </c>
      <c r="F208" s="42" t="s">
        <v>1389</v>
      </c>
      <c r="G208" s="44" t="s">
        <v>58</v>
      </c>
      <c r="H208" s="42" t="s">
        <v>30</v>
      </c>
      <c r="I208" s="42">
        <v>0</v>
      </c>
      <c r="J208" s="44" t="s">
        <v>31</v>
      </c>
      <c r="K208" s="44" t="s">
        <v>31</v>
      </c>
      <c r="L208" s="44" t="s">
        <v>31</v>
      </c>
      <c r="M208" s="44" t="s">
        <v>31</v>
      </c>
      <c r="N208" s="44" t="s">
        <v>31</v>
      </c>
      <c r="O208" s="44"/>
      <c r="P208" s="42"/>
    </row>
    <row r="209" spans="1:16" ht="15.75">
      <c r="A209" t="str">
        <f>B91</f>
        <v>treatment of aluminium, fuselage, airframe, PEMFC-bat, Medium-Term</v>
      </c>
      <c r="B209" s="64">
        <v>270.74130000000002</v>
      </c>
      <c r="D209" s="44" t="s">
        <v>37</v>
      </c>
      <c r="E209" s="42" t="s">
        <v>2</v>
      </c>
      <c r="F209" s="42" t="s">
        <v>1389</v>
      </c>
      <c r="G209" s="44" t="s">
        <v>58</v>
      </c>
      <c r="H209" s="42" t="s">
        <v>33</v>
      </c>
      <c r="I209" s="42">
        <v>0</v>
      </c>
      <c r="J209" s="44" t="s">
        <v>31</v>
      </c>
      <c r="K209" s="44" t="s">
        <v>31</v>
      </c>
      <c r="L209" s="44" t="s">
        <v>31</v>
      </c>
      <c r="M209" s="44" t="s">
        <v>31</v>
      </c>
      <c r="N209" s="44" t="s">
        <v>31</v>
      </c>
    </row>
    <row r="210" spans="1:16" ht="15.75">
      <c r="A210" t="str">
        <f>B106</f>
        <v>treatment of composites, fuselage, airframe, PEMFC-bat, Medium-Term</v>
      </c>
      <c r="B210" s="64">
        <v>2810.93</v>
      </c>
      <c r="D210" s="44" t="s">
        <v>37</v>
      </c>
      <c r="E210" s="42" t="s">
        <v>2</v>
      </c>
      <c r="F210" s="42" t="s">
        <v>1389</v>
      </c>
      <c r="G210" s="44" t="s">
        <v>58</v>
      </c>
      <c r="H210" s="42" t="s">
        <v>33</v>
      </c>
      <c r="I210" s="42">
        <v>0</v>
      </c>
      <c r="J210" s="44" t="s">
        <v>31</v>
      </c>
      <c r="K210" s="44" t="s">
        <v>31</v>
      </c>
      <c r="L210" s="44" t="s">
        <v>31</v>
      </c>
      <c r="M210" s="44" t="s">
        <v>31</v>
      </c>
      <c r="N210" s="44" t="s">
        <v>31</v>
      </c>
      <c r="O210" s="44" t="s">
        <v>1443</v>
      </c>
    </row>
    <row r="211" spans="1:16" ht="15.75">
      <c r="A211" t="str">
        <f>B106</f>
        <v>treatment of composites, fuselage, airframe, PEMFC-bat, Medium-Term</v>
      </c>
      <c r="B211" s="64">
        <v>14.89668</v>
      </c>
      <c r="D211" s="44" t="s">
        <v>37</v>
      </c>
      <c r="E211" s="42" t="s">
        <v>2</v>
      </c>
      <c r="F211" s="42" t="s">
        <v>1389</v>
      </c>
      <c r="G211" s="44" t="s">
        <v>58</v>
      </c>
      <c r="H211" s="42" t="s">
        <v>33</v>
      </c>
      <c r="I211" s="42">
        <v>0</v>
      </c>
      <c r="J211" s="44" t="s">
        <v>31</v>
      </c>
      <c r="K211" s="44" t="s">
        <v>31</v>
      </c>
      <c r="L211" s="44" t="s">
        <v>31</v>
      </c>
      <c r="M211" s="44" t="s">
        <v>31</v>
      </c>
      <c r="N211" s="44" t="s">
        <v>31</v>
      </c>
      <c r="O211" s="44" t="s">
        <v>1444</v>
      </c>
    </row>
    <row r="212" spans="1:16" ht="15.75">
      <c r="A212" t="str">
        <f>B121</f>
        <v>treatment of steel, fuselage, airframe, PEMFC-bat, Medium-Term</v>
      </c>
      <c r="B212" s="64">
        <v>1140.769</v>
      </c>
      <c r="D212" s="44" t="s">
        <v>37</v>
      </c>
      <c r="E212" s="42" t="s">
        <v>2</v>
      </c>
      <c r="F212" s="42" t="s">
        <v>1389</v>
      </c>
      <c r="G212" s="44" t="s">
        <v>58</v>
      </c>
      <c r="H212" s="42" t="s">
        <v>33</v>
      </c>
      <c r="I212" s="42">
        <v>0</v>
      </c>
      <c r="J212" s="44" t="s">
        <v>31</v>
      </c>
      <c r="K212" s="44" t="s">
        <v>31</v>
      </c>
      <c r="L212" s="44" t="s">
        <v>31</v>
      </c>
      <c r="M212" s="44" t="s">
        <v>31</v>
      </c>
      <c r="N212" s="44" t="s">
        <v>31</v>
      </c>
    </row>
    <row r="213" spans="1:16" ht="16.5" thickBot="1">
      <c r="A213" t="str">
        <f>B135</f>
        <v>treatment of titanium, fuselage, airframe, PEMFC-bat, Medium-Term</v>
      </c>
      <c r="B213" s="65">
        <v>209.96289999999999</v>
      </c>
      <c r="D213" s="44" t="s">
        <v>37</v>
      </c>
      <c r="E213" s="42" t="s">
        <v>2</v>
      </c>
      <c r="F213" s="42" t="s">
        <v>1389</v>
      </c>
      <c r="G213" s="44" t="s">
        <v>58</v>
      </c>
      <c r="H213" s="42" t="s">
        <v>33</v>
      </c>
      <c r="I213" s="42">
        <v>0</v>
      </c>
      <c r="J213" s="44" t="s">
        <v>31</v>
      </c>
      <c r="K213" s="44" t="s">
        <v>31</v>
      </c>
      <c r="L213" s="44" t="s">
        <v>31</v>
      </c>
      <c r="M213" s="44" t="s">
        <v>31</v>
      </c>
      <c r="N213" s="44" t="s">
        <v>31</v>
      </c>
    </row>
    <row r="214" spans="1:16" s="56" customFormat="1" ht="15.75">
      <c r="A214" s="53" t="s">
        <v>5</v>
      </c>
      <c r="B214" s="53" t="s">
        <v>1447</v>
      </c>
      <c r="C214" s="53"/>
      <c r="D214" s="54"/>
      <c r="E214" s="55"/>
      <c r="F214" s="55"/>
      <c r="G214" s="55"/>
      <c r="H214" s="55"/>
      <c r="I214" s="55"/>
      <c r="J214" s="55"/>
      <c r="K214" s="55"/>
      <c r="L214" s="55"/>
      <c r="M214" s="55"/>
      <c r="N214" s="55"/>
      <c r="O214" s="55"/>
      <c r="P214" s="55"/>
    </row>
    <row r="215" spans="1:16">
      <c r="A215" s="42" t="s">
        <v>7</v>
      </c>
      <c r="B215" s="42" t="s">
        <v>1349</v>
      </c>
      <c r="C215" s="42"/>
      <c r="D215" s="42"/>
      <c r="E215" s="42"/>
      <c r="F215" s="42"/>
      <c r="G215" s="42"/>
      <c r="H215" s="42"/>
      <c r="I215" s="42"/>
      <c r="J215" s="42"/>
      <c r="K215" s="42"/>
      <c r="L215" s="42"/>
      <c r="M215" s="42"/>
      <c r="N215" s="42"/>
      <c r="O215" s="42"/>
      <c r="P215" s="42"/>
    </row>
    <row r="216" spans="1:16">
      <c r="A216" s="42" t="s">
        <v>9</v>
      </c>
      <c r="B216" s="43" t="s">
        <v>1448</v>
      </c>
      <c r="C216" s="42"/>
      <c r="D216" s="42"/>
      <c r="E216" s="42"/>
      <c r="F216" s="42"/>
      <c r="G216" s="42"/>
      <c r="H216" s="42"/>
      <c r="I216" s="42"/>
      <c r="J216" s="42"/>
      <c r="K216" s="42"/>
      <c r="L216" s="42"/>
      <c r="M216" s="42"/>
      <c r="N216" s="42"/>
      <c r="O216" s="42"/>
      <c r="P216" s="42"/>
    </row>
    <row r="217" spans="1:16">
      <c r="A217" s="42" t="s">
        <v>11</v>
      </c>
      <c r="B217" s="42" t="s">
        <v>1440</v>
      </c>
      <c r="C217" s="42"/>
      <c r="D217" s="42"/>
      <c r="E217" s="42"/>
      <c r="F217" s="42"/>
      <c r="G217" s="42"/>
      <c r="H217" s="42"/>
      <c r="I217" s="42"/>
      <c r="J217" s="42"/>
      <c r="K217" s="42"/>
      <c r="L217" s="42"/>
      <c r="M217" s="42"/>
      <c r="N217" s="42"/>
      <c r="O217" s="42"/>
      <c r="P217" s="42"/>
    </row>
    <row r="218" spans="1:16">
      <c r="A218" s="42" t="s">
        <v>13</v>
      </c>
      <c r="B218" s="42" t="s">
        <v>58</v>
      </c>
      <c r="C218" s="42"/>
      <c r="D218" s="42"/>
      <c r="E218" s="42"/>
      <c r="F218" s="42"/>
      <c r="G218" s="42"/>
      <c r="H218" s="42"/>
      <c r="I218" s="42"/>
      <c r="J218" s="42"/>
      <c r="K218" s="42"/>
      <c r="L218" s="42"/>
      <c r="M218" s="42"/>
      <c r="N218" s="42"/>
      <c r="O218" s="42"/>
      <c r="P218" s="42"/>
    </row>
    <row r="219" spans="1:16">
      <c r="A219" s="42" t="s">
        <v>15</v>
      </c>
      <c r="B219" s="42">
        <v>1</v>
      </c>
      <c r="C219" s="42"/>
      <c r="D219" s="42"/>
      <c r="E219" s="42"/>
      <c r="F219" s="42"/>
      <c r="G219" s="42"/>
      <c r="H219" s="42"/>
      <c r="I219" s="42"/>
      <c r="J219" s="42"/>
      <c r="K219" s="42"/>
      <c r="L219" s="42"/>
      <c r="M219" s="42"/>
      <c r="N219" s="42"/>
      <c r="O219" s="42"/>
      <c r="P219" s="42"/>
    </row>
    <row r="220" spans="1:16">
      <c r="A220" s="42" t="s">
        <v>16</v>
      </c>
      <c r="B220" s="42" t="s">
        <v>17</v>
      </c>
      <c r="C220" s="42"/>
      <c r="D220" s="42"/>
      <c r="E220" s="42"/>
      <c r="F220" s="42"/>
      <c r="G220" s="42"/>
      <c r="H220" s="42"/>
      <c r="I220" s="42"/>
      <c r="J220" s="42"/>
      <c r="K220" s="42"/>
      <c r="L220" s="42"/>
      <c r="M220" s="42"/>
      <c r="N220" s="42"/>
      <c r="O220" s="42"/>
      <c r="P220" s="42"/>
    </row>
    <row r="221" spans="1:16" ht="15.75">
      <c r="A221" s="42" t="s">
        <v>18</v>
      </c>
      <c r="B221" s="44" t="s">
        <v>18</v>
      </c>
      <c r="C221" s="42"/>
      <c r="D221" s="42"/>
      <c r="E221" s="42" t="s">
        <v>197</v>
      </c>
      <c r="F221" s="42"/>
      <c r="G221" s="42"/>
      <c r="H221" s="42"/>
      <c r="I221" s="42"/>
      <c r="J221" s="42"/>
      <c r="K221" s="42"/>
      <c r="L221" s="42"/>
      <c r="M221" s="42"/>
      <c r="N221" s="42"/>
      <c r="O221" s="42"/>
      <c r="P221" s="42"/>
    </row>
    <row r="222" spans="1:16" ht="15.75">
      <c r="A222" s="45" t="s">
        <v>19</v>
      </c>
      <c r="B222" s="42"/>
      <c r="C222" s="42"/>
      <c r="D222" s="42"/>
      <c r="E222" s="42"/>
      <c r="F222" s="42"/>
      <c r="G222" s="42"/>
      <c r="H222" s="42"/>
      <c r="I222" s="42"/>
      <c r="J222" s="42"/>
      <c r="K222" s="42"/>
      <c r="L222" s="42"/>
      <c r="M222" s="42"/>
      <c r="N222" s="42"/>
      <c r="O222" s="42"/>
      <c r="P222" s="42"/>
    </row>
    <row r="223" spans="1:16" ht="15.75">
      <c r="A223" s="45" t="s">
        <v>20</v>
      </c>
      <c r="B223" s="45" t="s">
        <v>21</v>
      </c>
      <c r="C223" s="45" t="s">
        <v>198</v>
      </c>
      <c r="D223" s="45" t="s">
        <v>18</v>
      </c>
      <c r="E223" s="45" t="s">
        <v>22</v>
      </c>
      <c r="F223" s="45" t="s">
        <v>7</v>
      </c>
      <c r="G223" s="45" t="s">
        <v>13</v>
      </c>
      <c r="H223" s="45" t="s">
        <v>16</v>
      </c>
      <c r="I223" s="45" t="s">
        <v>23</v>
      </c>
      <c r="J223" s="45" t="s">
        <v>24</v>
      </c>
      <c r="K223" s="45" t="s">
        <v>25</v>
      </c>
      <c r="L223" s="45" t="s">
        <v>26</v>
      </c>
      <c r="M223" s="45" t="s">
        <v>27</v>
      </c>
      <c r="N223" s="45" t="s">
        <v>28</v>
      </c>
      <c r="O223" s="45" t="s">
        <v>11</v>
      </c>
      <c r="P223" s="45" t="s">
        <v>199</v>
      </c>
    </row>
    <row r="224" spans="1:16" ht="16.5" thickBot="1">
      <c r="A224" s="44" t="str">
        <f>B214</f>
        <v>treatment systems, airframe, PEMFC-bat, Medium-Term</v>
      </c>
      <c r="B224">
        <v>1</v>
      </c>
      <c r="C224" s="44"/>
      <c r="D224" s="44" t="s">
        <v>18</v>
      </c>
      <c r="E224" s="42" t="s">
        <v>2</v>
      </c>
      <c r="F224" s="42" t="s">
        <v>1389</v>
      </c>
      <c r="G224" s="44" t="s">
        <v>58</v>
      </c>
      <c r="H224" s="42" t="s">
        <v>30</v>
      </c>
      <c r="I224" s="42">
        <v>0</v>
      </c>
      <c r="J224" s="44" t="s">
        <v>31</v>
      </c>
      <c r="K224" s="44" t="s">
        <v>31</v>
      </c>
      <c r="L224" s="44" t="s">
        <v>31</v>
      </c>
      <c r="M224" s="44" t="s">
        <v>31</v>
      </c>
      <c r="N224" s="44" t="s">
        <v>31</v>
      </c>
      <c r="O224" s="44"/>
      <c r="P224" s="42"/>
    </row>
    <row r="225" spans="1:16" ht="15.75">
      <c r="A225" t="s">
        <v>1411</v>
      </c>
      <c r="B225" s="66">
        <v>243.36599999999987</v>
      </c>
      <c r="D225" t="s">
        <v>37</v>
      </c>
      <c r="E225" s="42" t="s">
        <v>2</v>
      </c>
      <c r="F225" s="42" t="s">
        <v>1389</v>
      </c>
      <c r="G225" s="44" t="s">
        <v>58</v>
      </c>
      <c r="H225" t="s">
        <v>33</v>
      </c>
      <c r="I225" s="42">
        <v>0</v>
      </c>
      <c r="J225" s="44" t="s">
        <v>31</v>
      </c>
      <c r="K225" s="44" t="s">
        <v>31</v>
      </c>
      <c r="L225" s="44" t="s">
        <v>31</v>
      </c>
      <c r="M225" s="44" t="s">
        <v>31</v>
      </c>
      <c r="N225" s="44" t="s">
        <v>31</v>
      </c>
      <c r="O225" t="s">
        <v>1449</v>
      </c>
    </row>
    <row r="226" spans="1:16" ht="15.75">
      <c r="A226" t="s">
        <v>1414</v>
      </c>
      <c r="B226" s="67">
        <v>10.428000000000001</v>
      </c>
      <c r="D226" t="s">
        <v>37</v>
      </c>
      <c r="E226" s="42" t="s">
        <v>2</v>
      </c>
      <c r="F226" s="42" t="s">
        <v>1389</v>
      </c>
      <c r="G226" s="44" t="s">
        <v>58</v>
      </c>
      <c r="H226" t="s">
        <v>33</v>
      </c>
      <c r="I226" s="42">
        <v>0</v>
      </c>
      <c r="J226" s="44" t="s">
        <v>31</v>
      </c>
      <c r="K226" s="44" t="s">
        <v>31</v>
      </c>
      <c r="L226" s="44" t="s">
        <v>31</v>
      </c>
      <c r="M226" s="44" t="s">
        <v>31</v>
      </c>
      <c r="N226" s="44" t="s">
        <v>31</v>
      </c>
    </row>
    <row r="227" spans="1:16" ht="15.75">
      <c r="A227" s="44" t="s">
        <v>1373</v>
      </c>
      <c r="B227" s="67">
        <v>145.52099999999999</v>
      </c>
      <c r="C227" s="44"/>
      <c r="D227" t="s">
        <v>37</v>
      </c>
      <c r="E227" s="42" t="s">
        <v>2</v>
      </c>
      <c r="F227" s="42" t="s">
        <v>1389</v>
      </c>
      <c r="G227" s="44" t="s">
        <v>58</v>
      </c>
      <c r="H227" t="s">
        <v>33</v>
      </c>
      <c r="I227" s="42">
        <v>0</v>
      </c>
      <c r="J227" s="44" t="s">
        <v>31</v>
      </c>
      <c r="K227" s="44" t="s">
        <v>31</v>
      </c>
      <c r="L227" s="44" t="s">
        <v>31</v>
      </c>
      <c r="M227" s="44" t="s">
        <v>31</v>
      </c>
      <c r="N227" s="44" t="s">
        <v>31</v>
      </c>
      <c r="O227" s="42" t="s">
        <v>1450</v>
      </c>
    </row>
    <row r="228" spans="1:16" ht="15.75">
      <c r="A228" t="s">
        <v>369</v>
      </c>
      <c r="B228" s="67">
        <v>-1346.1</v>
      </c>
      <c r="D228" t="s">
        <v>37</v>
      </c>
      <c r="E228" s="47" t="s">
        <v>40</v>
      </c>
      <c r="F228" s="42" t="s">
        <v>1389</v>
      </c>
      <c r="G228" s="44" t="s">
        <v>128</v>
      </c>
      <c r="H228" t="s">
        <v>33</v>
      </c>
      <c r="I228" s="42">
        <v>0</v>
      </c>
      <c r="J228" s="44" t="s">
        <v>31</v>
      </c>
      <c r="K228" s="44" t="s">
        <v>31</v>
      </c>
      <c r="L228" s="44" t="s">
        <v>31</v>
      </c>
      <c r="M228" s="44" t="s">
        <v>31</v>
      </c>
      <c r="N228" s="44" t="s">
        <v>31</v>
      </c>
    </row>
    <row r="229" spans="1:16" ht="15.75">
      <c r="A229" t="s">
        <v>1414</v>
      </c>
      <c r="B229" s="67">
        <v>176.15700000000001</v>
      </c>
      <c r="D229" t="s">
        <v>37</v>
      </c>
      <c r="E229" s="42" t="s">
        <v>2</v>
      </c>
      <c r="F229" s="42" t="s">
        <v>1389</v>
      </c>
      <c r="G229" s="44" t="s">
        <v>58</v>
      </c>
      <c r="H229" t="s">
        <v>33</v>
      </c>
      <c r="I229" s="42">
        <v>0</v>
      </c>
      <c r="J229" s="44" t="s">
        <v>31</v>
      </c>
      <c r="K229" s="44" t="s">
        <v>31</v>
      </c>
      <c r="L229" s="44" t="s">
        <v>31</v>
      </c>
      <c r="M229" s="44" t="s">
        <v>31</v>
      </c>
      <c r="N229" s="44" t="s">
        <v>31</v>
      </c>
    </row>
    <row r="230" spans="1:16" ht="15.75">
      <c r="A230" t="s">
        <v>1417</v>
      </c>
      <c r="B230" s="67">
        <v>734.1869999999999</v>
      </c>
      <c r="D230" t="s">
        <v>37</v>
      </c>
      <c r="E230" s="42" t="s">
        <v>2</v>
      </c>
      <c r="F230" s="42" t="s">
        <v>1389</v>
      </c>
      <c r="G230" s="44" t="s">
        <v>58</v>
      </c>
      <c r="H230" t="s">
        <v>33</v>
      </c>
      <c r="I230" s="42">
        <v>0</v>
      </c>
      <c r="J230" s="44" t="s">
        <v>31</v>
      </c>
      <c r="K230" s="44" t="s">
        <v>31</v>
      </c>
      <c r="L230" s="44" t="s">
        <v>31</v>
      </c>
      <c r="M230" s="44" t="s">
        <v>31</v>
      </c>
      <c r="N230" s="44" t="s">
        <v>31</v>
      </c>
    </row>
    <row r="231" spans="1:16" ht="16.5" thickBot="1">
      <c r="A231" t="s">
        <v>1414</v>
      </c>
      <c r="B231" s="68">
        <v>52.140999999999963</v>
      </c>
      <c r="D231" t="s">
        <v>37</v>
      </c>
      <c r="E231" s="42" t="s">
        <v>2</v>
      </c>
      <c r="F231" s="42" t="s">
        <v>1389</v>
      </c>
      <c r="G231" s="44" t="s">
        <v>58</v>
      </c>
      <c r="H231" t="s">
        <v>33</v>
      </c>
      <c r="I231" s="42">
        <v>0</v>
      </c>
      <c r="J231" s="44" t="s">
        <v>31</v>
      </c>
      <c r="K231" s="44" t="s">
        <v>31</v>
      </c>
      <c r="L231" s="44" t="s">
        <v>31</v>
      </c>
      <c r="M231" s="44" t="s">
        <v>31</v>
      </c>
      <c r="N231" s="44" t="s">
        <v>31</v>
      </c>
    </row>
    <row r="232" spans="1:16" s="41" customFormat="1" ht="15.75">
      <c r="A232" s="38" t="s">
        <v>5</v>
      </c>
      <c r="B232" s="38" t="s">
        <v>1451</v>
      </c>
      <c r="C232" s="38"/>
      <c r="D232" s="39"/>
      <c r="E232" s="40"/>
      <c r="F232" s="40"/>
      <c r="G232" s="40"/>
      <c r="H232" s="40"/>
      <c r="I232" s="40"/>
      <c r="J232" s="40"/>
      <c r="K232" s="40"/>
      <c r="L232" s="40"/>
      <c r="M232" s="40"/>
      <c r="N232" s="40"/>
      <c r="O232" s="40"/>
      <c r="P232" s="40"/>
    </row>
    <row r="233" spans="1:16">
      <c r="A233" s="42" t="s">
        <v>7</v>
      </c>
      <c r="B233" s="42" t="s">
        <v>1349</v>
      </c>
      <c r="C233" s="42"/>
      <c r="D233" s="42"/>
      <c r="E233" s="42"/>
      <c r="F233" s="42"/>
      <c r="G233" s="42"/>
      <c r="H233" s="42"/>
      <c r="I233" s="42"/>
      <c r="J233" s="42"/>
      <c r="K233" s="42"/>
      <c r="L233" s="42"/>
      <c r="M233" s="42"/>
      <c r="N233" s="42"/>
      <c r="O233" s="42"/>
      <c r="P233" s="42"/>
    </row>
    <row r="234" spans="1:16">
      <c r="A234" s="42" t="s">
        <v>9</v>
      </c>
      <c r="B234" s="43" t="s">
        <v>1452</v>
      </c>
      <c r="C234" s="42"/>
      <c r="D234" s="42"/>
      <c r="E234" s="42"/>
      <c r="F234" s="42"/>
      <c r="G234" s="42"/>
      <c r="H234" s="42"/>
      <c r="I234" s="42"/>
      <c r="J234" s="42"/>
      <c r="K234" s="42"/>
      <c r="L234" s="42"/>
      <c r="M234" s="42"/>
      <c r="N234" s="42"/>
      <c r="O234" s="42"/>
      <c r="P234" s="42"/>
    </row>
    <row r="235" spans="1:16">
      <c r="A235" s="42" t="s">
        <v>11</v>
      </c>
      <c r="B235" s="42" t="s">
        <v>1440</v>
      </c>
      <c r="C235" s="42"/>
      <c r="D235" s="42"/>
      <c r="E235" s="42"/>
      <c r="F235" s="42"/>
      <c r="G235" s="42"/>
      <c r="H235" s="42"/>
      <c r="I235" s="42"/>
      <c r="J235" s="42"/>
      <c r="K235" s="42"/>
      <c r="L235" s="42"/>
      <c r="M235" s="42"/>
      <c r="N235" s="42"/>
      <c r="O235" s="42"/>
      <c r="P235" s="42"/>
    </row>
    <row r="236" spans="1:16">
      <c r="A236" s="42" t="s">
        <v>13</v>
      </c>
      <c r="B236" s="42" t="s">
        <v>58</v>
      </c>
      <c r="C236" s="42"/>
      <c r="D236" s="42"/>
      <c r="E236" s="42"/>
      <c r="F236" s="42"/>
      <c r="G236" s="42"/>
      <c r="H236" s="42"/>
      <c r="I236" s="42"/>
      <c r="J236" s="42"/>
      <c r="K236" s="42"/>
      <c r="L236" s="42"/>
      <c r="M236" s="42"/>
      <c r="N236" s="42"/>
      <c r="O236" s="42"/>
      <c r="P236" s="42"/>
    </row>
    <row r="237" spans="1:16">
      <c r="A237" s="42" t="s">
        <v>15</v>
      </c>
      <c r="B237" s="42">
        <v>1</v>
      </c>
      <c r="C237" s="42"/>
      <c r="D237" s="42"/>
      <c r="E237" s="42"/>
      <c r="F237" s="42"/>
      <c r="G237" s="42"/>
      <c r="H237" s="42"/>
      <c r="I237" s="42"/>
      <c r="J237" s="42"/>
      <c r="K237" s="42"/>
      <c r="L237" s="42"/>
      <c r="M237" s="42"/>
      <c r="N237" s="42"/>
      <c r="O237" s="42"/>
      <c r="P237" s="42"/>
    </row>
    <row r="238" spans="1:16">
      <c r="A238" s="42" t="s">
        <v>16</v>
      </c>
      <c r="B238" s="42" t="s">
        <v>17</v>
      </c>
      <c r="C238" s="42"/>
      <c r="D238" s="42"/>
      <c r="E238" s="42"/>
      <c r="F238" s="42"/>
      <c r="G238" s="42"/>
      <c r="H238" s="42"/>
      <c r="I238" s="42"/>
      <c r="J238" s="42"/>
      <c r="K238" s="42"/>
      <c r="L238" s="42"/>
      <c r="M238" s="42"/>
      <c r="N238" s="42"/>
      <c r="O238" s="42"/>
      <c r="P238" s="42"/>
    </row>
    <row r="239" spans="1:16" ht="15.75">
      <c r="A239" s="42" t="s">
        <v>18</v>
      </c>
      <c r="B239" s="44" t="s">
        <v>18</v>
      </c>
      <c r="C239" s="42"/>
      <c r="D239" s="42"/>
      <c r="E239" s="42" t="s">
        <v>197</v>
      </c>
      <c r="F239" s="42"/>
      <c r="G239" s="42"/>
      <c r="H239" s="42"/>
      <c r="I239" s="42"/>
      <c r="J239" s="42"/>
      <c r="K239" s="42"/>
      <c r="L239" s="42"/>
      <c r="M239" s="42"/>
      <c r="N239" s="42"/>
      <c r="O239" s="42"/>
      <c r="P239" s="42"/>
    </row>
    <row r="240" spans="1:16" ht="15.75">
      <c r="A240" s="45" t="s">
        <v>19</v>
      </c>
      <c r="B240" s="42"/>
      <c r="C240" s="42"/>
      <c r="D240" s="42"/>
      <c r="E240" s="42"/>
      <c r="F240" s="42"/>
      <c r="G240" s="42"/>
      <c r="H240" s="42"/>
      <c r="I240" s="42"/>
      <c r="J240" s="42"/>
      <c r="K240" s="42"/>
      <c r="L240" s="42"/>
      <c r="M240" s="42"/>
      <c r="N240" s="42"/>
      <c r="O240" s="42"/>
      <c r="P240" s="42"/>
    </row>
    <row r="241" spans="1:16" ht="15.75">
      <c r="A241" s="45" t="s">
        <v>20</v>
      </c>
      <c r="B241" s="45" t="s">
        <v>21</v>
      </c>
      <c r="C241" s="45" t="s">
        <v>198</v>
      </c>
      <c r="D241" s="45" t="s">
        <v>18</v>
      </c>
      <c r="E241" s="45" t="s">
        <v>22</v>
      </c>
      <c r="F241" s="45" t="s">
        <v>7</v>
      </c>
      <c r="G241" s="45" t="s">
        <v>13</v>
      </c>
      <c r="H241" s="45" t="s">
        <v>16</v>
      </c>
      <c r="I241" s="45" t="s">
        <v>23</v>
      </c>
      <c r="J241" s="45" t="s">
        <v>24</v>
      </c>
      <c r="K241" s="45" t="s">
        <v>25</v>
      </c>
      <c r="L241" s="45" t="s">
        <v>26</v>
      </c>
      <c r="M241" s="45" t="s">
        <v>27</v>
      </c>
      <c r="N241" s="45" t="s">
        <v>28</v>
      </c>
      <c r="O241" s="45" t="s">
        <v>11</v>
      </c>
      <c r="P241" s="45" t="s">
        <v>199</v>
      </c>
    </row>
    <row r="242" spans="1:16" ht="15.75">
      <c r="A242" s="44" t="str">
        <f>B232</f>
        <v>treatment of airframe , PEMFC-bat, Medium-Term</v>
      </c>
      <c r="B242">
        <v>1</v>
      </c>
      <c r="C242" s="44"/>
      <c r="D242" s="44" t="s">
        <v>18</v>
      </c>
      <c r="E242" s="42" t="s">
        <v>2</v>
      </c>
      <c r="F242" s="42" t="s">
        <v>1389</v>
      </c>
      <c r="G242" s="44" t="s">
        <v>58</v>
      </c>
      <c r="H242" s="42" t="s">
        <v>30</v>
      </c>
      <c r="I242" s="42">
        <v>0</v>
      </c>
      <c r="J242" s="44" t="s">
        <v>31</v>
      </c>
      <c r="K242" s="44" t="s">
        <v>31</v>
      </c>
      <c r="L242" s="44" t="s">
        <v>31</v>
      </c>
      <c r="M242" s="44" t="s">
        <v>31</v>
      </c>
      <c r="N242" s="44" t="s">
        <v>31</v>
      </c>
      <c r="O242" s="44"/>
      <c r="P242" s="42"/>
    </row>
    <row r="243" spans="1:16">
      <c r="A243" t="str">
        <f>A208</f>
        <v>treatment fuselage , airframe, PEMFC-bat, Medium-Term</v>
      </c>
      <c r="B243">
        <f t="shared" ref="B243:N243" si="1">B208</f>
        <v>1</v>
      </c>
      <c r="D243" t="str">
        <f t="shared" si="1"/>
        <v>unit</v>
      </c>
      <c r="E243" t="str">
        <f t="shared" si="1"/>
        <v>GENESIS_2040_PEMFC-bat_NDC</v>
      </c>
      <c r="F243" s="42" t="s">
        <v>1389</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PEMFC-bat, Medium-Term</v>
      </c>
      <c r="B244">
        <f t="shared" ref="B244:N244" si="2">B194</f>
        <v>1</v>
      </c>
      <c r="D244" t="str">
        <f t="shared" si="2"/>
        <v>unit</v>
      </c>
      <c r="E244" t="str">
        <f t="shared" si="2"/>
        <v>GENESIS_2040_PEMFC-bat_NDC</v>
      </c>
      <c r="F244" s="42" t="s">
        <v>1389</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PEMFC-bat, Medium-Term</v>
      </c>
      <c r="B245">
        <f t="shared" ref="B245:N245" si="3">B179</f>
        <v>1</v>
      </c>
      <c r="D245" t="str">
        <f t="shared" si="3"/>
        <v>unit</v>
      </c>
      <c r="E245" t="str">
        <f t="shared" si="3"/>
        <v>GENESIS_2040_PEMFC-bat_NDC</v>
      </c>
      <c r="F245" s="42" t="s">
        <v>1389</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PEMFC-bat, Medium-Term</v>
      </c>
      <c r="B246">
        <f t="shared" ref="B246:N246" si="4">B159</f>
        <v>1</v>
      </c>
      <c r="D246" t="str">
        <f t="shared" si="4"/>
        <v>kilogram</v>
      </c>
      <c r="E246" t="str">
        <f t="shared" si="4"/>
        <v>GENESIS_2040_PEMFC-bat_NDC</v>
      </c>
      <c r="F246" s="42" t="s">
        <v>1389</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
        <v>1447</v>
      </c>
      <c r="B247">
        <v>1</v>
      </c>
      <c r="D247" t="s">
        <v>18</v>
      </c>
      <c r="E247" t="s">
        <v>2</v>
      </c>
      <c r="F247" t="s">
        <v>1389</v>
      </c>
      <c r="G247" t="s">
        <v>58</v>
      </c>
      <c r="H247" t="s">
        <v>33</v>
      </c>
      <c r="I247">
        <v>0</v>
      </c>
      <c r="J247" t="s">
        <v>31</v>
      </c>
      <c r="K247" t="s">
        <v>31</v>
      </c>
      <c r="L247" t="s">
        <v>31</v>
      </c>
      <c r="M247" t="s">
        <v>31</v>
      </c>
      <c r="N247" t="s">
        <v>31</v>
      </c>
    </row>
    <row r="249" spans="1:16">
      <c r="F249" t="s">
        <v>1453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1A3B-B421-48AC-A9C0-627217C904ED}">
  <sheetPr>
    <tabColor theme="9"/>
  </sheetPr>
  <dimension ref="A1:P44"/>
  <sheetViews>
    <sheetView topLeftCell="A7" zoomScale="70" zoomScaleNormal="70" workbookViewId="0">
      <selection activeCell="E36" sqref="E36"/>
    </sheetView>
  </sheetViews>
  <sheetFormatPr defaultRowHeight="15"/>
  <cols>
    <col min="1" max="1" width="79.5703125" bestFit="1" customWidth="1"/>
    <col min="5" max="5" width="31.28515625" bestFit="1" customWidth="1"/>
    <col min="6" max="6" width="37.140625" bestFit="1" customWidth="1"/>
  </cols>
  <sheetData>
    <row r="1" spans="1:16">
      <c r="A1" t="s">
        <v>0</v>
      </c>
      <c r="B1">
        <v>14</v>
      </c>
    </row>
    <row r="2" spans="1:16" s="41" customFormat="1" ht="15.75">
      <c r="A2" s="38" t="s">
        <v>5</v>
      </c>
      <c r="B2" s="38" t="s">
        <v>1454</v>
      </c>
      <c r="C2" s="38"/>
      <c r="D2" s="39"/>
      <c r="E2" s="40"/>
      <c r="F2" s="40"/>
      <c r="G2" s="40"/>
      <c r="H2" s="40"/>
      <c r="I2" s="40"/>
      <c r="J2" s="40"/>
      <c r="K2" s="40"/>
      <c r="L2" s="40"/>
      <c r="M2" s="40"/>
      <c r="N2" s="40"/>
      <c r="O2" s="40"/>
      <c r="P2" s="40"/>
    </row>
    <row r="3" spans="1:16">
      <c r="A3" s="42" t="s">
        <v>7</v>
      </c>
      <c r="B3" s="42" t="s">
        <v>1349</v>
      </c>
      <c r="C3" s="42"/>
      <c r="D3" s="42"/>
      <c r="E3" s="42"/>
      <c r="F3" s="42"/>
      <c r="G3" s="42"/>
      <c r="H3" s="42"/>
      <c r="I3" s="42"/>
      <c r="J3" s="42"/>
      <c r="K3" s="42"/>
      <c r="L3" s="42"/>
      <c r="M3" s="42"/>
      <c r="N3" s="42"/>
      <c r="O3" s="42"/>
      <c r="P3" s="42"/>
    </row>
    <row r="4" spans="1:16">
      <c r="A4" s="42" t="s">
        <v>9</v>
      </c>
      <c r="B4" s="43" t="s">
        <v>1455</v>
      </c>
      <c r="C4" s="42"/>
      <c r="D4" s="42"/>
      <c r="E4" s="42"/>
      <c r="F4" s="42"/>
      <c r="G4" s="42"/>
      <c r="H4" s="42"/>
      <c r="I4" s="42"/>
      <c r="J4" s="42"/>
      <c r="K4" s="42"/>
      <c r="L4" s="42"/>
      <c r="M4" s="42"/>
      <c r="N4" s="42"/>
      <c r="O4" s="42"/>
      <c r="P4" s="42"/>
    </row>
    <row r="5" spans="1:16">
      <c r="A5" s="42" t="s">
        <v>11</v>
      </c>
      <c r="B5" s="42" t="s">
        <v>1388</v>
      </c>
      <c r="C5" s="42"/>
      <c r="D5" s="42"/>
      <c r="E5" s="42"/>
      <c r="F5" s="42"/>
      <c r="G5" s="42"/>
      <c r="H5" s="42"/>
      <c r="I5" s="42"/>
      <c r="J5" s="42"/>
      <c r="K5" s="42"/>
      <c r="L5" s="42"/>
      <c r="M5" s="42"/>
      <c r="N5" s="42"/>
      <c r="O5" s="42"/>
      <c r="P5" s="42"/>
    </row>
    <row r="6" spans="1:16">
      <c r="A6" s="42" t="s">
        <v>13</v>
      </c>
      <c r="B6" s="42" t="s">
        <v>58</v>
      </c>
      <c r="C6" s="42"/>
      <c r="D6" s="42"/>
      <c r="E6" s="42"/>
      <c r="F6" s="42"/>
      <c r="G6" s="42"/>
      <c r="H6" s="42"/>
      <c r="I6" s="42"/>
      <c r="J6" s="42"/>
      <c r="K6" s="42"/>
      <c r="L6" s="42"/>
      <c r="M6" s="42"/>
      <c r="N6" s="42"/>
      <c r="O6" s="42"/>
      <c r="P6" s="42"/>
    </row>
    <row r="7" spans="1:16">
      <c r="A7" s="42" t="s">
        <v>15</v>
      </c>
      <c r="B7" s="42">
        <v>1</v>
      </c>
      <c r="C7" s="42"/>
      <c r="D7" s="42"/>
      <c r="E7" s="42"/>
      <c r="F7" s="42"/>
      <c r="G7" s="42"/>
      <c r="H7" s="42"/>
      <c r="I7" s="42"/>
      <c r="J7" s="42"/>
      <c r="K7" s="42"/>
      <c r="L7" s="42"/>
      <c r="M7" s="42"/>
      <c r="N7" s="42"/>
      <c r="O7" s="42"/>
      <c r="P7" s="42"/>
    </row>
    <row r="8" spans="1:16">
      <c r="A8" s="42" t="s">
        <v>16</v>
      </c>
      <c r="B8" s="42" t="s">
        <v>17</v>
      </c>
      <c r="C8" s="42"/>
      <c r="D8" s="42"/>
      <c r="E8" s="42"/>
      <c r="F8" s="42"/>
      <c r="G8" s="42"/>
      <c r="H8" s="42"/>
      <c r="I8" s="42"/>
      <c r="J8" s="42"/>
      <c r="K8" s="42"/>
      <c r="L8" s="42"/>
      <c r="M8" s="42"/>
      <c r="N8" s="42"/>
      <c r="O8" s="42"/>
      <c r="P8" s="42"/>
    </row>
    <row r="9" spans="1:16" ht="15.75">
      <c r="A9" s="42" t="s">
        <v>18</v>
      </c>
      <c r="B9" s="44" t="s">
        <v>37</v>
      </c>
      <c r="C9" s="42"/>
      <c r="D9" s="42"/>
      <c r="E9" s="42" t="s">
        <v>197</v>
      </c>
      <c r="F9" s="42"/>
      <c r="G9" s="42"/>
      <c r="H9" s="42"/>
      <c r="I9" s="42"/>
      <c r="J9" s="42"/>
      <c r="K9" s="42"/>
      <c r="L9" s="42"/>
      <c r="M9" s="42"/>
      <c r="N9" s="42"/>
      <c r="O9" s="42"/>
      <c r="P9" s="42"/>
    </row>
    <row r="10" spans="1:16" ht="15.75">
      <c r="A10" s="45" t="s">
        <v>19</v>
      </c>
      <c r="B10" s="42"/>
      <c r="C10" s="42"/>
      <c r="D10" s="42"/>
      <c r="E10" s="42"/>
      <c r="F10" s="42"/>
      <c r="G10" s="42"/>
      <c r="H10" s="42"/>
      <c r="I10" s="42"/>
      <c r="J10" s="42"/>
      <c r="K10" s="42"/>
      <c r="L10" s="42"/>
      <c r="M10" s="42"/>
      <c r="N10" s="42"/>
      <c r="O10" s="42"/>
      <c r="P10" s="42"/>
    </row>
    <row r="11" spans="1:16"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16" ht="15.75">
      <c r="A12" s="44" t="str">
        <f>B2</f>
        <v>treatment of steel, H2_storage EoL, PEMFC-bat, Medium-Term</v>
      </c>
      <c r="B12" s="44">
        <v>1</v>
      </c>
      <c r="C12" s="44"/>
      <c r="D12" s="44" t="s">
        <v>37</v>
      </c>
      <c r="E12" s="42" t="s">
        <v>2</v>
      </c>
      <c r="F12" s="42" t="s">
        <v>200</v>
      </c>
      <c r="G12" s="44" t="s">
        <v>58</v>
      </c>
      <c r="H12" s="42" t="s">
        <v>30</v>
      </c>
      <c r="I12" s="42">
        <v>0</v>
      </c>
      <c r="J12" s="44" t="s">
        <v>31</v>
      </c>
      <c r="K12" s="44" t="s">
        <v>31</v>
      </c>
      <c r="L12" s="44" t="s">
        <v>31</v>
      </c>
      <c r="M12" s="44" t="s">
        <v>31</v>
      </c>
      <c r="N12" s="44" t="s">
        <v>31</v>
      </c>
      <c r="O12" s="44" t="s">
        <v>1419</v>
      </c>
      <c r="P12" s="42"/>
    </row>
    <row r="13" spans="1:16" ht="15.75">
      <c r="A13" t="s">
        <v>240</v>
      </c>
      <c r="B13" s="23">
        <v>0.85</v>
      </c>
      <c r="C13" s="44"/>
      <c r="D13" s="44" t="s">
        <v>37</v>
      </c>
      <c r="E13" s="47" t="s">
        <v>40</v>
      </c>
      <c r="F13" s="42" t="s">
        <v>200</v>
      </c>
      <c r="G13" s="44" t="s">
        <v>128</v>
      </c>
      <c r="H13" s="42" t="s">
        <v>33</v>
      </c>
      <c r="I13" s="42">
        <v>0</v>
      </c>
      <c r="J13" s="44" t="s">
        <v>31</v>
      </c>
      <c r="K13" s="44" t="s">
        <v>31</v>
      </c>
      <c r="L13" s="44" t="s">
        <v>31</v>
      </c>
      <c r="M13" s="44" t="s">
        <v>31</v>
      </c>
      <c r="N13" s="44" t="s">
        <v>31</v>
      </c>
      <c r="O13" s="42"/>
      <c r="P13" s="42"/>
    </row>
    <row r="14" spans="1:16" ht="15.75">
      <c r="A14" t="s">
        <v>704</v>
      </c>
      <c r="B14" s="23">
        <f>0.9*B13</f>
        <v>0.76500000000000001</v>
      </c>
      <c r="C14" s="44"/>
      <c r="D14" s="44" t="s">
        <v>37</v>
      </c>
      <c r="E14" s="47" t="s">
        <v>40</v>
      </c>
      <c r="F14" s="42" t="s">
        <v>200</v>
      </c>
      <c r="G14" s="44" t="s">
        <v>58</v>
      </c>
      <c r="H14" s="42" t="s">
        <v>243</v>
      </c>
      <c r="I14" s="42">
        <v>0</v>
      </c>
      <c r="J14" s="44" t="s">
        <v>31</v>
      </c>
      <c r="K14" s="44" t="s">
        <v>31</v>
      </c>
      <c r="L14" s="44" t="s">
        <v>31</v>
      </c>
      <c r="M14" s="44" t="s">
        <v>31</v>
      </c>
      <c r="N14" s="44" t="s">
        <v>31</v>
      </c>
      <c r="O14" s="42"/>
      <c r="P14" s="42" t="s">
        <v>1301</v>
      </c>
    </row>
    <row r="15" spans="1:16" ht="16.5" customHeight="1">
      <c r="A15" t="s">
        <v>380</v>
      </c>
      <c r="B15" s="23">
        <f>-(1-B14)</f>
        <v>-0.23499999999999999</v>
      </c>
      <c r="D15" t="s">
        <v>37</v>
      </c>
      <c r="E15" s="47" t="s">
        <v>40</v>
      </c>
      <c r="F15" s="42" t="s">
        <v>200</v>
      </c>
      <c r="G15" t="s">
        <v>58</v>
      </c>
      <c r="H15" t="s">
        <v>33</v>
      </c>
      <c r="I15">
        <v>0</v>
      </c>
      <c r="J15" t="s">
        <v>31</v>
      </c>
      <c r="K15" t="s">
        <v>31</v>
      </c>
      <c r="L15" t="s">
        <v>31</v>
      </c>
      <c r="M15" t="s">
        <v>31</v>
      </c>
      <c r="N15" t="s">
        <v>31</v>
      </c>
      <c r="O15" s="17"/>
      <c r="P15" s="42" t="s">
        <v>1399</v>
      </c>
    </row>
    <row r="16" spans="1:16" s="41" customFormat="1" ht="15.75">
      <c r="A16" s="38" t="s">
        <v>5</v>
      </c>
      <c r="B16" s="38" t="s">
        <v>1456</v>
      </c>
      <c r="C16" s="38"/>
      <c r="D16" s="39"/>
      <c r="E16" s="40"/>
      <c r="F16" s="40"/>
      <c r="G16" s="40"/>
      <c r="H16" s="40"/>
      <c r="I16" s="40"/>
      <c r="J16" s="40"/>
      <c r="K16" s="40"/>
      <c r="L16" s="40"/>
      <c r="M16" s="40"/>
      <c r="N16" s="40"/>
      <c r="O16" s="40"/>
      <c r="P16" s="40"/>
    </row>
    <row r="17" spans="1:16">
      <c r="A17" s="42" t="s">
        <v>7</v>
      </c>
      <c r="B17" s="42" t="s">
        <v>1349</v>
      </c>
      <c r="C17" s="42"/>
      <c r="D17" s="42"/>
      <c r="E17" s="42"/>
      <c r="F17" s="42"/>
      <c r="G17" s="42"/>
      <c r="H17" s="42"/>
      <c r="I17" s="42"/>
      <c r="J17" s="42"/>
      <c r="K17" s="42"/>
      <c r="L17" s="42"/>
      <c r="M17" s="42"/>
      <c r="N17" s="42"/>
      <c r="O17" s="42"/>
      <c r="P17" s="42"/>
    </row>
    <row r="18" spans="1:16">
      <c r="A18" s="42" t="s">
        <v>9</v>
      </c>
      <c r="B18" s="43" t="s">
        <v>1457</v>
      </c>
      <c r="C18" s="42"/>
      <c r="D18" s="42"/>
      <c r="E18" s="42"/>
      <c r="F18" s="42"/>
      <c r="G18" s="42"/>
      <c r="H18" s="42"/>
      <c r="I18" s="42"/>
      <c r="J18" s="42"/>
      <c r="K18" s="42"/>
      <c r="L18" s="42"/>
      <c r="M18" s="42"/>
      <c r="N18" s="42"/>
      <c r="O18" s="42"/>
      <c r="P18" s="42"/>
    </row>
    <row r="19" spans="1:16">
      <c r="A19" s="42" t="s">
        <v>11</v>
      </c>
      <c r="B19" s="42" t="s">
        <v>1388</v>
      </c>
      <c r="C19" s="42"/>
      <c r="D19" s="42"/>
      <c r="E19" s="42"/>
      <c r="F19" s="42"/>
      <c r="G19" s="42"/>
      <c r="H19" s="42"/>
      <c r="I19" s="42"/>
      <c r="J19" s="42"/>
      <c r="K19" s="42"/>
      <c r="L19" s="42"/>
      <c r="M19" s="42"/>
      <c r="N19" s="42"/>
      <c r="O19" s="42"/>
      <c r="P19" s="42"/>
    </row>
    <row r="20" spans="1:16">
      <c r="A20" s="42" t="s">
        <v>13</v>
      </c>
      <c r="B20" s="42" t="s">
        <v>58</v>
      </c>
      <c r="C20" s="42"/>
      <c r="D20" s="42"/>
      <c r="E20" s="42"/>
      <c r="F20" s="42"/>
      <c r="G20" s="42"/>
      <c r="H20" s="42"/>
      <c r="I20" s="42"/>
      <c r="J20" s="42"/>
      <c r="K20" s="42"/>
      <c r="L20" s="42"/>
      <c r="M20" s="42"/>
      <c r="N20" s="42"/>
      <c r="O20" s="42"/>
      <c r="P20" s="42"/>
    </row>
    <row r="21" spans="1:16">
      <c r="A21" s="42" t="s">
        <v>15</v>
      </c>
      <c r="B21" s="42">
        <v>1</v>
      </c>
      <c r="C21" s="42"/>
      <c r="D21" s="42"/>
      <c r="E21" s="42"/>
      <c r="F21" s="42"/>
      <c r="G21" s="42"/>
      <c r="H21" s="42"/>
      <c r="I21" s="42"/>
      <c r="J21" s="42"/>
      <c r="K21" s="42"/>
      <c r="L21" s="42"/>
      <c r="M21" s="42"/>
      <c r="N21" s="42"/>
      <c r="O21" s="42"/>
      <c r="P21" s="42"/>
    </row>
    <row r="22" spans="1:16">
      <c r="A22" s="42" t="s">
        <v>16</v>
      </c>
      <c r="B22" s="42" t="s">
        <v>17</v>
      </c>
      <c r="C22" s="42"/>
      <c r="D22" s="42"/>
      <c r="E22" s="42"/>
      <c r="F22" s="42"/>
      <c r="G22" s="42"/>
      <c r="H22" s="42"/>
      <c r="I22" s="42"/>
      <c r="J22" s="42"/>
      <c r="K22" s="42"/>
      <c r="L22" s="42"/>
      <c r="M22" s="42"/>
      <c r="N22" s="42"/>
      <c r="O22" s="42"/>
      <c r="P22" s="42"/>
    </row>
    <row r="23" spans="1:16" ht="15.75">
      <c r="A23" s="42" t="s">
        <v>18</v>
      </c>
      <c r="B23" s="44" t="s">
        <v>37</v>
      </c>
      <c r="C23" s="42"/>
      <c r="D23" s="42"/>
      <c r="E23" s="42" t="s">
        <v>197</v>
      </c>
      <c r="F23" s="42"/>
      <c r="G23" s="42"/>
      <c r="H23" s="42"/>
      <c r="I23" s="42"/>
      <c r="J23" s="42"/>
      <c r="K23" s="42"/>
      <c r="L23" s="42"/>
      <c r="M23" s="42"/>
      <c r="N23" s="42"/>
      <c r="O23" s="42"/>
      <c r="P23" s="42"/>
    </row>
    <row r="24" spans="1:16" ht="15.75">
      <c r="A24" s="45" t="s">
        <v>19</v>
      </c>
      <c r="B24" s="42"/>
      <c r="C24" s="42"/>
      <c r="D24" s="42"/>
      <c r="E24" s="42"/>
      <c r="F24" s="42"/>
      <c r="G24" s="42"/>
      <c r="H24" s="42"/>
      <c r="I24" s="42"/>
      <c r="J24" s="42"/>
      <c r="K24" s="42"/>
      <c r="L24" s="42"/>
      <c r="M24" s="42"/>
      <c r="N24" s="42"/>
      <c r="O24" s="42"/>
      <c r="P24" s="42"/>
    </row>
    <row r="25" spans="1:16" ht="15.75">
      <c r="A25" s="45" t="s">
        <v>20</v>
      </c>
      <c r="B25" s="45" t="s">
        <v>21</v>
      </c>
      <c r="C25" s="45" t="s">
        <v>198</v>
      </c>
      <c r="D25" s="45" t="s">
        <v>18</v>
      </c>
      <c r="E25" s="45" t="s">
        <v>22</v>
      </c>
      <c r="F25" s="45" t="s">
        <v>7</v>
      </c>
      <c r="G25" s="45" t="s">
        <v>13</v>
      </c>
      <c r="H25" s="45" t="s">
        <v>16</v>
      </c>
      <c r="I25" s="45" t="s">
        <v>23</v>
      </c>
      <c r="J25" s="45" t="s">
        <v>24</v>
      </c>
      <c r="K25" s="45" t="s">
        <v>25</v>
      </c>
      <c r="L25" s="45" t="s">
        <v>26</v>
      </c>
      <c r="M25" s="45" t="s">
        <v>27</v>
      </c>
      <c r="N25" s="45" t="s">
        <v>28</v>
      </c>
      <c r="O25" s="45" t="s">
        <v>11</v>
      </c>
      <c r="P25" s="45" t="s">
        <v>199</v>
      </c>
    </row>
    <row r="26" spans="1:16" ht="15.75">
      <c r="A26" s="44" t="str">
        <f>B16</f>
        <v>treatment of CFRP, H2 storage EoL,PEMFC-bat, Medium-Term</v>
      </c>
      <c r="B26" s="44">
        <v>1</v>
      </c>
      <c r="C26" s="44"/>
      <c r="D26" s="44" t="s">
        <v>37</v>
      </c>
      <c r="E26" s="42" t="s">
        <v>2</v>
      </c>
      <c r="F26" s="42" t="s">
        <v>200</v>
      </c>
      <c r="G26" s="44" t="s">
        <v>58</v>
      </c>
      <c r="H26" s="42" t="s">
        <v>30</v>
      </c>
      <c r="I26" s="42">
        <v>0</v>
      </c>
      <c r="J26" s="44" t="s">
        <v>31</v>
      </c>
      <c r="K26" s="44" t="s">
        <v>31</v>
      </c>
      <c r="L26" s="44" t="s">
        <v>31</v>
      </c>
      <c r="M26" s="44" t="s">
        <v>31</v>
      </c>
      <c r="N26" s="44" t="s">
        <v>31</v>
      </c>
      <c r="O26" s="44" t="s">
        <v>1416</v>
      </c>
      <c r="P26" s="42"/>
    </row>
    <row r="27" spans="1:16" ht="15.75">
      <c r="A27" s="47" t="s">
        <v>567</v>
      </c>
      <c r="B27">
        <v>-0.5</v>
      </c>
      <c r="D27" t="s">
        <v>37</v>
      </c>
      <c r="E27" s="46" t="s">
        <v>40</v>
      </c>
      <c r="F27" s="42" t="s">
        <v>200</v>
      </c>
      <c r="G27" t="s">
        <v>128</v>
      </c>
      <c r="H27" t="s">
        <v>33</v>
      </c>
      <c r="I27" s="42">
        <v>0</v>
      </c>
      <c r="J27" s="44" t="s">
        <v>31</v>
      </c>
      <c r="K27" s="44" t="s">
        <v>31</v>
      </c>
      <c r="L27" s="44" t="s">
        <v>31</v>
      </c>
      <c r="M27" s="44" t="s">
        <v>31</v>
      </c>
      <c r="N27" s="44" t="s">
        <v>31</v>
      </c>
      <c r="O27" s="44" t="s">
        <v>1308</v>
      </c>
      <c r="P27" s="44" t="s">
        <v>1359</v>
      </c>
    </row>
    <row r="28" spans="1:16" ht="15.75">
      <c r="A28" s="47" t="s">
        <v>1362</v>
      </c>
      <c r="B28">
        <v>-0.5</v>
      </c>
      <c r="D28" t="s">
        <v>37</v>
      </c>
      <c r="E28" s="46" t="s">
        <v>40</v>
      </c>
      <c r="F28" s="42" t="s">
        <v>200</v>
      </c>
      <c r="G28" t="s">
        <v>128</v>
      </c>
      <c r="H28" s="42" t="s">
        <v>33</v>
      </c>
      <c r="I28" s="42">
        <v>0</v>
      </c>
      <c r="J28" s="44" t="s">
        <v>31</v>
      </c>
      <c r="K28" s="44" t="s">
        <v>31</v>
      </c>
      <c r="L28" s="44" t="s">
        <v>31</v>
      </c>
      <c r="M28" s="44" t="s">
        <v>31</v>
      </c>
      <c r="N28" s="44" t="s">
        <v>31</v>
      </c>
      <c r="O28" s="44"/>
    </row>
    <row r="29" spans="1:16" s="41" customFormat="1" ht="15.75">
      <c r="A29" s="38" t="s">
        <v>5</v>
      </c>
      <c r="B29" s="38" t="s">
        <v>1458</v>
      </c>
      <c r="C29" s="38"/>
      <c r="D29" s="39"/>
      <c r="E29" s="40"/>
      <c r="F29" s="40"/>
      <c r="G29" s="40"/>
      <c r="H29" s="40"/>
      <c r="I29" s="40"/>
      <c r="J29" s="40"/>
      <c r="K29" s="40"/>
      <c r="L29" s="40"/>
      <c r="M29" s="40"/>
      <c r="N29" s="40"/>
      <c r="O29" s="40"/>
      <c r="P29" s="40"/>
    </row>
    <row r="30" spans="1:16">
      <c r="A30" s="42" t="s">
        <v>7</v>
      </c>
      <c r="B30" s="42" t="s">
        <v>1349</v>
      </c>
      <c r="C30" s="42"/>
      <c r="D30" s="42"/>
      <c r="E30" s="42"/>
      <c r="F30" s="42"/>
      <c r="G30" s="42"/>
      <c r="H30" s="42"/>
      <c r="I30" s="42"/>
      <c r="J30" s="42"/>
      <c r="K30" s="42"/>
      <c r="L30" s="42"/>
      <c r="M30" s="42"/>
      <c r="N30" s="42"/>
      <c r="O30" s="42"/>
      <c r="P30" s="42"/>
    </row>
    <row r="31" spans="1:16">
      <c r="A31" s="42" t="s">
        <v>9</v>
      </c>
      <c r="B31" s="43" t="s">
        <v>1459</v>
      </c>
      <c r="C31" s="42"/>
      <c r="D31" s="42"/>
      <c r="E31" s="42"/>
      <c r="F31" s="42"/>
      <c r="G31" s="42"/>
      <c r="H31" s="42"/>
      <c r="I31" s="42"/>
      <c r="J31" s="42"/>
      <c r="K31" s="42"/>
      <c r="L31" s="42"/>
      <c r="M31" s="42"/>
      <c r="N31" s="42"/>
      <c r="O31" s="42"/>
      <c r="P31" s="42"/>
    </row>
    <row r="32" spans="1:16">
      <c r="A32" s="42" t="s">
        <v>11</v>
      </c>
      <c r="B32" s="42" t="s">
        <v>1388</v>
      </c>
      <c r="C32" s="42"/>
      <c r="D32" s="42"/>
      <c r="E32" s="42"/>
      <c r="F32" s="42"/>
      <c r="G32" s="42"/>
      <c r="H32" s="42"/>
      <c r="I32" s="42"/>
      <c r="J32" s="42"/>
      <c r="K32" s="42"/>
      <c r="L32" s="42"/>
      <c r="M32" s="42"/>
      <c r="N32" s="42"/>
      <c r="O32" s="42"/>
      <c r="P32" s="42"/>
    </row>
    <row r="33" spans="1:16">
      <c r="A33" s="42" t="s">
        <v>13</v>
      </c>
      <c r="B33" s="42" t="s">
        <v>58</v>
      </c>
      <c r="C33" s="42"/>
      <c r="D33" s="42"/>
      <c r="E33" s="42"/>
      <c r="F33" s="42"/>
      <c r="G33" s="42"/>
      <c r="H33" s="42"/>
      <c r="I33" s="42"/>
      <c r="J33" s="42"/>
      <c r="K33" s="42"/>
      <c r="L33" s="42"/>
      <c r="M33" s="42"/>
      <c r="N33" s="42"/>
      <c r="O33" s="42"/>
      <c r="P33" s="42"/>
    </row>
    <row r="34" spans="1:16">
      <c r="A34" s="42" t="s">
        <v>15</v>
      </c>
      <c r="B34" s="42">
        <v>1</v>
      </c>
      <c r="C34" s="42"/>
      <c r="D34" s="42"/>
      <c r="E34" s="42"/>
      <c r="F34" s="42"/>
      <c r="G34" s="42"/>
      <c r="H34" s="42"/>
      <c r="I34" s="42"/>
      <c r="J34" s="42"/>
      <c r="K34" s="42"/>
      <c r="L34" s="42"/>
      <c r="M34" s="42"/>
      <c r="N34" s="42"/>
      <c r="O34" s="42"/>
      <c r="P34" s="42"/>
    </row>
    <row r="35" spans="1:16">
      <c r="A35" s="42" t="s">
        <v>16</v>
      </c>
      <c r="B35" s="42" t="s">
        <v>17</v>
      </c>
      <c r="C35" s="42"/>
      <c r="D35" s="42"/>
      <c r="E35" s="42"/>
      <c r="F35" s="42"/>
      <c r="G35" s="42"/>
      <c r="H35" s="42"/>
      <c r="I35" s="42"/>
      <c r="J35" s="42"/>
      <c r="K35" s="42"/>
      <c r="L35" s="42"/>
      <c r="M35" s="42"/>
      <c r="N35" s="42"/>
      <c r="O35" s="42"/>
      <c r="P35" s="42"/>
    </row>
    <row r="36" spans="1:16" ht="15.75">
      <c r="A36" s="42" t="s">
        <v>18</v>
      </c>
      <c r="B36" s="44" t="s">
        <v>18</v>
      </c>
      <c r="C36" s="42"/>
      <c r="D36" s="42"/>
      <c r="E36" s="42" t="s">
        <v>197</v>
      </c>
      <c r="F36" s="42"/>
      <c r="G36" s="42"/>
      <c r="H36" s="42"/>
      <c r="I36" s="42"/>
      <c r="J36" s="42"/>
      <c r="K36" s="42"/>
      <c r="L36" s="42"/>
      <c r="M36" s="42"/>
      <c r="N36" s="42"/>
      <c r="O36" s="42"/>
      <c r="P36" s="42"/>
    </row>
    <row r="37" spans="1:16" ht="15.75">
      <c r="A37" s="45" t="s">
        <v>19</v>
      </c>
      <c r="B37" s="42"/>
      <c r="C37" s="42"/>
      <c r="D37" s="42"/>
      <c r="E37" s="42"/>
      <c r="F37" s="42"/>
      <c r="G37" s="42"/>
      <c r="H37" s="42"/>
      <c r="I37" s="42"/>
      <c r="J37" s="42"/>
      <c r="K37" s="42"/>
      <c r="L37" s="42"/>
      <c r="M37" s="42"/>
      <c r="N37" s="42"/>
      <c r="O37" s="42"/>
      <c r="P37" s="42"/>
    </row>
    <row r="38" spans="1:16" ht="15.75">
      <c r="A38" s="45" t="s">
        <v>20</v>
      </c>
      <c r="B38" s="45" t="s">
        <v>21</v>
      </c>
      <c r="C38" s="45" t="s">
        <v>198</v>
      </c>
      <c r="D38" s="45" t="s">
        <v>18</v>
      </c>
      <c r="E38" s="45" t="s">
        <v>22</v>
      </c>
      <c r="F38" s="45" t="s">
        <v>7</v>
      </c>
      <c r="G38" s="45" t="s">
        <v>13</v>
      </c>
      <c r="H38" s="45" t="s">
        <v>16</v>
      </c>
      <c r="I38" s="45" t="s">
        <v>23</v>
      </c>
      <c r="J38" s="45" t="s">
        <v>24</v>
      </c>
      <c r="K38" s="45" t="s">
        <v>25</v>
      </c>
      <c r="L38" s="45" t="s">
        <v>26</v>
      </c>
      <c r="M38" s="45" t="s">
        <v>27</v>
      </c>
      <c r="N38" s="45" t="s">
        <v>28</v>
      </c>
      <c r="O38" s="45" t="s">
        <v>11</v>
      </c>
      <c r="P38" s="45" t="s">
        <v>199</v>
      </c>
    </row>
    <row r="39" spans="1:16" ht="15.75">
      <c r="A39" s="44" t="str">
        <f>B29</f>
        <v>treatment of H2 storage on-board</v>
      </c>
      <c r="B39" s="44">
        <v>1</v>
      </c>
      <c r="C39" s="44"/>
      <c r="D39" s="44" t="s">
        <v>18</v>
      </c>
      <c r="E39" s="42" t="s">
        <v>2</v>
      </c>
      <c r="F39" s="42" t="s">
        <v>200</v>
      </c>
      <c r="G39" s="44" t="s">
        <v>58</v>
      </c>
      <c r="H39" s="42" t="s">
        <v>30</v>
      </c>
      <c r="I39" s="42">
        <v>0</v>
      </c>
      <c r="J39" s="44" t="s">
        <v>31</v>
      </c>
      <c r="K39" s="44" t="s">
        <v>31</v>
      </c>
      <c r="L39" s="44" t="s">
        <v>31</v>
      </c>
      <c r="M39" s="44" t="s">
        <v>31</v>
      </c>
      <c r="N39" s="44" t="s">
        <v>31</v>
      </c>
      <c r="O39" s="44" t="s">
        <v>1416</v>
      </c>
      <c r="P39" s="42"/>
    </row>
    <row r="40" spans="1:16">
      <c r="A40" t="str">
        <f>A12</f>
        <v>treatment of steel, H2_storage EoL, PEMFC-bat, Medium-Term</v>
      </c>
      <c r="B40">
        <v>47.205880000000001</v>
      </c>
      <c r="D40" t="str">
        <f t="shared" ref="D40:N40" si="0">D12</f>
        <v>kilogram</v>
      </c>
      <c r="E40" t="str">
        <f t="shared" si="0"/>
        <v>GENESIS_2040_PEMFC-bat_NDC</v>
      </c>
      <c r="F40" s="42" t="s">
        <v>200</v>
      </c>
      <c r="G40" t="str">
        <f t="shared" si="0"/>
        <v>GLO</v>
      </c>
      <c r="H40" t="str">
        <f t="shared" si="0"/>
        <v>production</v>
      </c>
      <c r="I40">
        <f t="shared" si="0"/>
        <v>0</v>
      </c>
      <c r="J40" t="str">
        <f t="shared" si="0"/>
        <v>(Unknown)</v>
      </c>
      <c r="K40" t="str">
        <f t="shared" si="0"/>
        <v>(Unknown)</v>
      </c>
      <c r="L40" t="str">
        <f t="shared" si="0"/>
        <v>(Unknown)</v>
      </c>
      <c r="M40" t="str">
        <f t="shared" si="0"/>
        <v>(Unknown)</v>
      </c>
      <c r="N40" t="str">
        <f t="shared" si="0"/>
        <v>(Unknown)</v>
      </c>
    </row>
    <row r="41" spans="1:16">
      <c r="A41" t="str">
        <f>A26</f>
        <v>treatment of CFRP, H2 storage EoL,PEMFC-bat, Medium-Term</v>
      </c>
      <c r="B41">
        <v>668.3</v>
      </c>
      <c r="D41" t="str">
        <f t="shared" ref="D41:N41" si="1">D26</f>
        <v>kilogram</v>
      </c>
      <c r="E41" t="str">
        <f t="shared" si="1"/>
        <v>GENESIS_2040_PEMFC-bat_NDC</v>
      </c>
      <c r="F41" s="42" t="s">
        <v>200</v>
      </c>
      <c r="G41" t="str">
        <f t="shared" si="1"/>
        <v>GLO</v>
      </c>
      <c r="H41" t="str">
        <f t="shared" si="1"/>
        <v>production</v>
      </c>
      <c r="I41">
        <f t="shared" si="1"/>
        <v>0</v>
      </c>
      <c r="J41" t="str">
        <f t="shared" si="1"/>
        <v>(Unknown)</v>
      </c>
      <c r="K41" t="str">
        <f t="shared" si="1"/>
        <v>(Unknown)</v>
      </c>
      <c r="L41" t="str">
        <f t="shared" si="1"/>
        <v>(Unknown)</v>
      </c>
      <c r="M41" t="str">
        <f t="shared" si="1"/>
        <v>(Unknown)</v>
      </c>
      <c r="N41" t="str">
        <f t="shared" si="1"/>
        <v>(Unknown)</v>
      </c>
    </row>
    <row r="42" spans="1:16" ht="16.5" customHeight="1">
      <c r="A42" t="s">
        <v>380</v>
      </c>
      <c r="B42" s="23">
        <v>5.4</v>
      </c>
      <c r="D42" t="s">
        <v>37</v>
      </c>
      <c r="E42" s="47" t="s">
        <v>40</v>
      </c>
      <c r="F42" s="42" t="s">
        <v>200</v>
      </c>
      <c r="G42" t="s">
        <v>58</v>
      </c>
      <c r="H42" t="s">
        <v>33</v>
      </c>
      <c r="I42">
        <v>0</v>
      </c>
      <c r="J42" t="s">
        <v>31</v>
      </c>
      <c r="K42" t="s">
        <v>31</v>
      </c>
      <c r="L42" t="s">
        <v>31</v>
      </c>
      <c r="M42" t="s">
        <v>31</v>
      </c>
      <c r="N42" t="s">
        <v>31</v>
      </c>
      <c r="O42" s="17"/>
      <c r="P42" s="42" t="s">
        <v>1460</v>
      </c>
    </row>
    <row r="43" spans="1:16" ht="15.75">
      <c r="A43" t="s">
        <v>369</v>
      </c>
      <c r="B43">
        <v>-1</v>
      </c>
      <c r="D43" t="s">
        <v>37</v>
      </c>
      <c r="E43" s="47" t="s">
        <v>40</v>
      </c>
      <c r="F43" s="42" t="s">
        <v>200</v>
      </c>
      <c r="G43" s="44" t="s">
        <v>128</v>
      </c>
      <c r="H43" t="s">
        <v>33</v>
      </c>
      <c r="I43" s="42">
        <v>0</v>
      </c>
      <c r="J43" s="44" t="s">
        <v>31</v>
      </c>
      <c r="K43" s="44" t="s">
        <v>31</v>
      </c>
      <c r="L43" s="44" t="s">
        <v>31</v>
      </c>
      <c r="M43" s="44" t="s">
        <v>31</v>
      </c>
      <c r="N43" s="44" t="s">
        <v>31</v>
      </c>
    </row>
    <row r="44" spans="1:16" ht="15.75">
      <c r="A44" s="47" t="s">
        <v>309</v>
      </c>
      <c r="B44">
        <v>0.3</v>
      </c>
      <c r="D44" t="s">
        <v>37</v>
      </c>
      <c r="E44" s="47" t="s">
        <v>40</v>
      </c>
      <c r="F44" s="42" t="s">
        <v>200</v>
      </c>
      <c r="G44" t="s">
        <v>128</v>
      </c>
      <c r="H44" t="s">
        <v>33</v>
      </c>
      <c r="I44" s="42">
        <v>0</v>
      </c>
      <c r="J44" s="44" t="s">
        <v>31</v>
      </c>
      <c r="K44" s="44" t="s">
        <v>31</v>
      </c>
      <c r="L44" s="44" t="s">
        <v>31</v>
      </c>
      <c r="M44" s="44" t="s">
        <v>31</v>
      </c>
      <c r="N44" s="44" t="s">
        <v>31</v>
      </c>
      <c r="P44" s="44" t="s">
        <v>1461</v>
      </c>
    </row>
  </sheetData>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2788D-B304-43A7-9955-C6CDF6B5EFC0}">
  <sheetPr>
    <tabColor theme="9"/>
  </sheetPr>
  <dimension ref="A1:P104"/>
  <sheetViews>
    <sheetView topLeftCell="A78" zoomScale="85" zoomScaleNormal="85" workbookViewId="0">
      <selection activeCell="E36" sqref="E36"/>
    </sheetView>
  </sheetViews>
  <sheetFormatPr defaultRowHeight="15"/>
  <cols>
    <col min="1" max="1" width="65.5703125" customWidth="1"/>
    <col min="5" max="5" width="30" bestFit="1" customWidth="1"/>
    <col min="6" max="6" width="30.140625" bestFit="1" customWidth="1"/>
  </cols>
  <sheetData>
    <row r="1" spans="1:16">
      <c r="A1" t="s">
        <v>0</v>
      </c>
      <c r="B1">
        <v>14</v>
      </c>
    </row>
    <row r="2" spans="1:16" s="41" customFormat="1" ht="15.75">
      <c r="A2" s="38" t="s">
        <v>5</v>
      </c>
      <c r="B2" s="38" t="s">
        <v>1462</v>
      </c>
      <c r="C2" s="38"/>
      <c r="D2" s="39"/>
      <c r="E2" s="40"/>
      <c r="F2" s="40"/>
      <c r="G2" s="40"/>
      <c r="H2" s="40"/>
      <c r="I2" s="40"/>
      <c r="J2" s="40"/>
      <c r="K2" s="40"/>
      <c r="L2" s="40"/>
      <c r="M2" s="40"/>
      <c r="N2" s="40"/>
      <c r="O2" s="40"/>
      <c r="P2" s="40"/>
    </row>
    <row r="3" spans="1:16">
      <c r="A3" s="42" t="s">
        <v>7</v>
      </c>
      <c r="B3" s="42" t="s">
        <v>1349</v>
      </c>
      <c r="C3" s="42"/>
      <c r="D3" s="42"/>
      <c r="E3" s="42"/>
      <c r="F3" s="42"/>
      <c r="G3" s="42"/>
      <c r="H3" s="42"/>
      <c r="I3" s="42"/>
      <c r="J3" s="42"/>
      <c r="K3" s="42"/>
      <c r="L3" s="42"/>
      <c r="M3" s="42"/>
      <c r="N3" s="42"/>
      <c r="O3" s="42"/>
      <c r="P3" s="42"/>
    </row>
    <row r="4" spans="1:16">
      <c r="A4" s="42" t="s">
        <v>9</v>
      </c>
      <c r="B4" s="43" t="s">
        <v>1463</v>
      </c>
      <c r="C4" s="42"/>
      <c r="D4" s="42"/>
      <c r="E4" s="42"/>
      <c r="F4" s="42"/>
      <c r="G4" s="42"/>
      <c r="H4" s="42"/>
      <c r="I4" s="42"/>
      <c r="J4" s="42"/>
      <c r="K4" s="42"/>
      <c r="L4" s="42"/>
      <c r="M4" s="42"/>
      <c r="N4" s="42"/>
      <c r="O4" s="42"/>
      <c r="P4" s="42"/>
    </row>
    <row r="5" spans="1:16">
      <c r="A5" s="42" t="s">
        <v>11</v>
      </c>
      <c r="B5" s="42" t="s">
        <v>1464</v>
      </c>
      <c r="C5" s="42"/>
      <c r="D5" s="42"/>
      <c r="E5" s="42"/>
      <c r="F5" s="42"/>
      <c r="G5" s="42"/>
      <c r="H5" s="42"/>
      <c r="I5" s="42"/>
      <c r="J5" s="42"/>
      <c r="K5" s="42"/>
      <c r="L5" s="42"/>
      <c r="M5" s="42"/>
      <c r="N5" s="42"/>
      <c r="O5" s="42"/>
      <c r="P5" s="42"/>
    </row>
    <row r="6" spans="1:16">
      <c r="A6" s="42" t="s">
        <v>13</v>
      </c>
      <c r="B6" s="42" t="s">
        <v>58</v>
      </c>
      <c r="C6" s="42"/>
      <c r="D6" s="42"/>
      <c r="E6" s="42"/>
      <c r="F6" s="42"/>
      <c r="G6" s="42"/>
      <c r="H6" s="42"/>
      <c r="I6" s="42"/>
      <c r="J6" s="42"/>
      <c r="K6" s="42"/>
      <c r="L6" s="42"/>
      <c r="M6" s="42"/>
      <c r="N6" s="42"/>
      <c r="O6" s="42"/>
      <c r="P6" s="42"/>
    </row>
    <row r="7" spans="1:16">
      <c r="A7" s="42" t="s">
        <v>15</v>
      </c>
      <c r="B7" s="42">
        <v>1</v>
      </c>
      <c r="C7" s="42"/>
      <c r="D7" s="42"/>
      <c r="E7" s="42"/>
      <c r="F7" s="42"/>
      <c r="G7" s="42"/>
      <c r="H7" s="42"/>
      <c r="I7" s="42"/>
      <c r="J7" s="42"/>
      <c r="K7" s="42"/>
      <c r="L7" s="42"/>
      <c r="M7" s="42"/>
      <c r="N7" s="42"/>
      <c r="O7" s="42"/>
      <c r="P7" s="42"/>
    </row>
    <row r="8" spans="1:16">
      <c r="A8" s="42" t="s">
        <v>16</v>
      </c>
      <c r="B8" s="42" t="s">
        <v>17</v>
      </c>
      <c r="C8" s="42"/>
      <c r="D8" s="42"/>
      <c r="E8" s="42"/>
      <c r="F8" s="42"/>
      <c r="G8" s="42"/>
      <c r="H8" s="42"/>
      <c r="I8" s="42"/>
      <c r="J8" s="42"/>
      <c r="K8" s="42"/>
      <c r="L8" s="42"/>
      <c r="M8" s="42"/>
      <c r="N8" s="42"/>
      <c r="O8" s="42"/>
      <c r="P8" s="42"/>
    </row>
    <row r="9" spans="1:16" ht="15.75">
      <c r="A9" s="42" t="s">
        <v>18</v>
      </c>
      <c r="B9" s="44" t="s">
        <v>37</v>
      </c>
      <c r="C9" s="42"/>
      <c r="D9" s="42"/>
      <c r="E9" s="42" t="s">
        <v>197</v>
      </c>
      <c r="F9" s="42"/>
      <c r="G9" s="42"/>
      <c r="H9" s="42"/>
      <c r="I9" s="42"/>
      <c r="J9" s="42"/>
      <c r="K9" s="42"/>
      <c r="L9" s="42"/>
      <c r="M9" s="42"/>
      <c r="N9" s="42"/>
      <c r="O9" s="42"/>
      <c r="P9" s="42"/>
    </row>
    <row r="10" spans="1:16" ht="15.75">
      <c r="A10" s="45" t="s">
        <v>19</v>
      </c>
      <c r="B10" s="42"/>
      <c r="C10" s="42"/>
      <c r="D10" s="42"/>
      <c r="E10" s="42"/>
      <c r="F10" s="42"/>
      <c r="G10" s="42"/>
      <c r="H10" s="42"/>
      <c r="I10" s="42"/>
      <c r="J10" s="42"/>
      <c r="K10" s="42"/>
      <c r="L10" s="42"/>
      <c r="M10" s="42"/>
      <c r="N10" s="42"/>
      <c r="O10" s="42"/>
      <c r="P10" s="42"/>
    </row>
    <row r="11" spans="1:16"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16" ht="15.75">
      <c r="A12" s="44" t="str">
        <f>B2</f>
        <v>treatment of aluminium,PEMFC EoL, PEMFC-bat, Medium-Term</v>
      </c>
      <c r="B12" s="44">
        <v>1</v>
      </c>
      <c r="C12" s="44"/>
      <c r="D12" s="44" t="s">
        <v>37</v>
      </c>
      <c r="E12" s="42" t="s">
        <v>2</v>
      </c>
      <c r="F12" s="42" t="s">
        <v>1465</v>
      </c>
      <c r="G12" s="44" t="s">
        <v>58</v>
      </c>
      <c r="H12" s="42" t="s">
        <v>30</v>
      </c>
      <c r="I12" s="42">
        <v>0</v>
      </c>
      <c r="J12" s="44" t="s">
        <v>31</v>
      </c>
      <c r="K12" s="44" t="s">
        <v>31</v>
      </c>
      <c r="L12" s="44" t="s">
        <v>31</v>
      </c>
      <c r="M12" s="44" t="s">
        <v>31</v>
      </c>
      <c r="N12" s="44" t="s">
        <v>31</v>
      </c>
      <c r="O12" s="44" t="s">
        <v>1466</v>
      </c>
      <c r="P12" s="42"/>
    </row>
    <row r="13" spans="1:16" ht="15.75">
      <c r="A13" t="s">
        <v>245</v>
      </c>
      <c r="B13" s="23">
        <v>0.85</v>
      </c>
      <c r="C13" s="44"/>
      <c r="D13" s="44" t="s">
        <v>37</v>
      </c>
      <c r="E13" s="32" t="s">
        <v>40</v>
      </c>
      <c r="F13" s="42" t="s">
        <v>1465</v>
      </c>
      <c r="G13" s="44" t="s">
        <v>128</v>
      </c>
      <c r="H13" s="42" t="s">
        <v>33</v>
      </c>
      <c r="I13" s="42">
        <v>0</v>
      </c>
      <c r="J13" s="44" t="s">
        <v>31</v>
      </c>
      <c r="K13" s="44" t="s">
        <v>31</v>
      </c>
      <c r="L13" s="44" t="s">
        <v>31</v>
      </c>
      <c r="M13" s="44" t="s">
        <v>31</v>
      </c>
      <c r="N13" s="44" t="s">
        <v>31</v>
      </c>
      <c r="O13" s="42"/>
      <c r="P13" s="42"/>
    </row>
    <row r="14" spans="1:16" ht="15.75">
      <c r="A14" t="s">
        <v>247</v>
      </c>
      <c r="B14" s="23">
        <v>0.85</v>
      </c>
      <c r="C14" s="22" t="s">
        <v>248</v>
      </c>
      <c r="D14" t="s">
        <v>37</v>
      </c>
      <c r="E14" s="46" t="s">
        <v>40</v>
      </c>
      <c r="F14" s="42" t="s">
        <v>1465</v>
      </c>
      <c r="G14" s="44" t="s">
        <v>128</v>
      </c>
      <c r="H14" s="42" t="s">
        <v>33</v>
      </c>
      <c r="I14" s="42">
        <v>0</v>
      </c>
      <c r="J14" s="44" t="s">
        <v>31</v>
      </c>
      <c r="K14" s="44" t="s">
        <v>31</v>
      </c>
      <c r="L14" s="44" t="s">
        <v>31</v>
      </c>
      <c r="M14" s="44" t="s">
        <v>31</v>
      </c>
      <c r="N14" s="44" t="s">
        <v>31</v>
      </c>
      <c r="O14" s="44" t="s">
        <v>1367</v>
      </c>
    </row>
    <row r="15" spans="1:16" ht="15.75">
      <c r="A15" t="s">
        <v>329</v>
      </c>
      <c r="B15" s="23">
        <f>B14*0.9</f>
        <v>0.76500000000000001</v>
      </c>
      <c r="D15" t="s">
        <v>37</v>
      </c>
      <c r="E15" s="46" t="s">
        <v>40</v>
      </c>
      <c r="F15" s="42" t="s">
        <v>1465</v>
      </c>
      <c r="G15" t="s">
        <v>58</v>
      </c>
      <c r="H15" s="42" t="s">
        <v>243</v>
      </c>
      <c r="I15" s="42">
        <v>0</v>
      </c>
      <c r="J15" s="44" t="s">
        <v>31</v>
      </c>
      <c r="K15" s="44" t="s">
        <v>31</v>
      </c>
      <c r="L15" s="44" t="s">
        <v>31</v>
      </c>
      <c r="M15" s="44" t="s">
        <v>31</v>
      </c>
      <c r="N15" s="44" t="s">
        <v>31</v>
      </c>
      <c r="O15" s="42"/>
      <c r="P15" s="44" t="s">
        <v>1391</v>
      </c>
    </row>
    <row r="16" spans="1:16" ht="15.75">
      <c r="A16" t="s">
        <v>380</v>
      </c>
      <c r="B16" s="23">
        <f>-(1-B15)</f>
        <v>-0.23499999999999999</v>
      </c>
      <c r="D16" t="s">
        <v>37</v>
      </c>
      <c r="E16" s="47" t="s">
        <v>40</v>
      </c>
      <c r="F16" s="42" t="s">
        <v>1465</v>
      </c>
      <c r="G16" t="s">
        <v>58</v>
      </c>
      <c r="H16" t="s">
        <v>33</v>
      </c>
      <c r="I16">
        <v>0</v>
      </c>
      <c r="J16" t="s">
        <v>31</v>
      </c>
      <c r="K16" t="s">
        <v>31</v>
      </c>
      <c r="L16" t="s">
        <v>31</v>
      </c>
      <c r="M16" t="s">
        <v>31</v>
      </c>
      <c r="N16" t="s">
        <v>31</v>
      </c>
      <c r="O16" s="17"/>
      <c r="P16" s="42"/>
    </row>
    <row r="17" spans="1:16" s="41" customFormat="1" ht="15.75">
      <c r="A17" s="38" t="s">
        <v>5</v>
      </c>
      <c r="B17" s="38" t="s">
        <v>1467</v>
      </c>
      <c r="C17" s="38"/>
      <c r="D17" s="39"/>
      <c r="E17" s="40"/>
      <c r="F17" s="40"/>
      <c r="G17" s="40"/>
      <c r="H17" s="40"/>
      <c r="I17" s="40"/>
      <c r="J17" s="40"/>
      <c r="K17" s="40"/>
      <c r="L17" s="40"/>
      <c r="M17" s="40"/>
      <c r="N17" s="40"/>
      <c r="O17" s="40"/>
      <c r="P17" s="40"/>
    </row>
    <row r="18" spans="1:16">
      <c r="A18" s="42" t="s">
        <v>7</v>
      </c>
      <c r="B18" s="42" t="s">
        <v>1349</v>
      </c>
      <c r="C18" s="42"/>
      <c r="D18" s="42"/>
      <c r="E18" s="42"/>
      <c r="F18" s="42"/>
      <c r="G18" s="42"/>
      <c r="H18" s="42"/>
      <c r="I18" s="42"/>
      <c r="J18" s="42"/>
      <c r="K18" s="42"/>
      <c r="L18" s="42"/>
      <c r="M18" s="42"/>
      <c r="N18" s="42"/>
      <c r="O18" s="42"/>
      <c r="P18" s="42"/>
    </row>
    <row r="19" spans="1:16">
      <c r="A19" s="42" t="s">
        <v>9</v>
      </c>
      <c r="B19" s="43" t="s">
        <v>1468</v>
      </c>
      <c r="C19" s="42"/>
      <c r="D19" s="42"/>
      <c r="E19" s="42"/>
      <c r="F19" s="42"/>
      <c r="G19" s="42"/>
      <c r="H19" s="42"/>
      <c r="I19" s="42"/>
      <c r="J19" s="42"/>
      <c r="K19" s="42"/>
      <c r="L19" s="42"/>
      <c r="M19" s="42"/>
      <c r="N19" s="42"/>
      <c r="O19" s="42"/>
      <c r="P19" s="42"/>
    </row>
    <row r="20" spans="1:16">
      <c r="A20" s="42" t="s">
        <v>11</v>
      </c>
      <c r="B20" s="42" t="s">
        <v>1464</v>
      </c>
      <c r="C20" s="42"/>
      <c r="D20" s="42"/>
      <c r="E20" s="42"/>
      <c r="F20" s="42"/>
      <c r="G20" s="42"/>
      <c r="H20" s="42"/>
      <c r="I20" s="42"/>
      <c r="J20" s="42"/>
      <c r="K20" s="42"/>
      <c r="L20" s="42"/>
      <c r="M20" s="42"/>
      <c r="N20" s="42"/>
      <c r="O20" s="42"/>
      <c r="P20" s="42"/>
    </row>
    <row r="21" spans="1:16">
      <c r="A21" s="42" t="s">
        <v>13</v>
      </c>
      <c r="B21" s="42" t="s">
        <v>58</v>
      </c>
      <c r="C21" s="42"/>
      <c r="D21" s="42"/>
      <c r="E21" s="42"/>
      <c r="F21" s="42"/>
      <c r="G21" s="42"/>
      <c r="H21" s="42"/>
      <c r="I21" s="42"/>
      <c r="J21" s="42"/>
      <c r="K21" s="42"/>
      <c r="L21" s="42"/>
      <c r="M21" s="42"/>
      <c r="N21" s="42"/>
      <c r="O21" s="42"/>
      <c r="P21" s="42"/>
    </row>
    <row r="22" spans="1:16">
      <c r="A22" s="42" t="s">
        <v>15</v>
      </c>
      <c r="B22" s="42">
        <v>1</v>
      </c>
      <c r="C22" s="42"/>
      <c r="D22" s="42"/>
      <c r="E22" s="42"/>
      <c r="F22" s="42"/>
      <c r="G22" s="42"/>
      <c r="H22" s="42"/>
      <c r="I22" s="42"/>
      <c r="J22" s="42"/>
      <c r="K22" s="42"/>
      <c r="L22" s="42"/>
      <c r="M22" s="42"/>
      <c r="N22" s="42"/>
      <c r="O22" s="42"/>
      <c r="P22" s="42"/>
    </row>
    <row r="23" spans="1:16">
      <c r="A23" s="42" t="s">
        <v>16</v>
      </c>
      <c r="B23" s="42" t="s">
        <v>17</v>
      </c>
      <c r="C23" s="42"/>
      <c r="D23" s="42"/>
      <c r="E23" s="42"/>
      <c r="F23" s="42"/>
      <c r="G23" s="42"/>
      <c r="H23" s="42"/>
      <c r="I23" s="42"/>
      <c r="J23" s="42"/>
      <c r="K23" s="42"/>
      <c r="L23" s="42"/>
      <c r="M23" s="42"/>
      <c r="N23" s="42"/>
      <c r="O23" s="42"/>
      <c r="P23" s="42"/>
    </row>
    <row r="24" spans="1:16" ht="15.75">
      <c r="A24" s="42" t="s">
        <v>18</v>
      </c>
      <c r="B24" s="44" t="s">
        <v>37</v>
      </c>
      <c r="C24" s="42"/>
      <c r="D24" s="42"/>
      <c r="E24" s="42" t="s">
        <v>197</v>
      </c>
      <c r="F24" s="42"/>
      <c r="G24" s="42"/>
      <c r="H24" s="42"/>
      <c r="I24" s="42"/>
      <c r="J24" s="42"/>
      <c r="K24" s="42"/>
      <c r="L24" s="42"/>
      <c r="M24" s="42"/>
      <c r="N24" s="42"/>
      <c r="O24" s="42"/>
      <c r="P24" s="42"/>
    </row>
    <row r="25" spans="1:16" ht="15.75">
      <c r="A25" s="45" t="s">
        <v>19</v>
      </c>
      <c r="B25" s="42"/>
      <c r="C25" s="42"/>
      <c r="D25" s="42"/>
      <c r="E25" s="42"/>
      <c r="F25" s="42"/>
      <c r="G25" s="42"/>
      <c r="H25" s="42"/>
      <c r="I25" s="42"/>
      <c r="J25" s="42"/>
      <c r="K25" s="42"/>
      <c r="L25" s="42"/>
      <c r="M25" s="42"/>
      <c r="N25" s="42"/>
      <c r="O25" s="42"/>
      <c r="P25" s="42"/>
    </row>
    <row r="26" spans="1:16" ht="15.75">
      <c r="A26" s="45" t="s">
        <v>20</v>
      </c>
      <c r="B26" s="45" t="s">
        <v>21</v>
      </c>
      <c r="C26" s="45" t="s">
        <v>198</v>
      </c>
      <c r="D26" s="45" t="s">
        <v>18</v>
      </c>
      <c r="E26" s="45" t="s">
        <v>22</v>
      </c>
      <c r="F26" s="45" t="s">
        <v>7</v>
      </c>
      <c r="G26" s="45" t="s">
        <v>13</v>
      </c>
      <c r="H26" s="45" t="s">
        <v>16</v>
      </c>
      <c r="I26" s="45" t="s">
        <v>23</v>
      </c>
      <c r="J26" s="45" t="s">
        <v>24</v>
      </c>
      <c r="K26" s="45" t="s">
        <v>25</v>
      </c>
      <c r="L26" s="45" t="s">
        <v>26</v>
      </c>
      <c r="M26" s="45" t="s">
        <v>27</v>
      </c>
      <c r="N26" s="45" t="s">
        <v>28</v>
      </c>
      <c r="O26" s="45" t="s">
        <v>11</v>
      </c>
      <c r="P26" s="45" t="s">
        <v>199</v>
      </c>
    </row>
    <row r="27" spans="1:16" ht="15.75">
      <c r="A27" s="44" t="str">
        <f>B17</f>
        <v>treatment of copper,PEMFC EoL, PEMFC-bat, Medium-Term</v>
      </c>
      <c r="B27" s="44">
        <v>1</v>
      </c>
      <c r="C27" s="44"/>
      <c r="D27" s="44" t="s">
        <v>37</v>
      </c>
      <c r="E27" s="42" t="s">
        <v>2</v>
      </c>
      <c r="F27" s="42" t="s">
        <v>1465</v>
      </c>
      <c r="G27" s="44" t="s">
        <v>58</v>
      </c>
      <c r="H27" s="42" t="s">
        <v>30</v>
      </c>
      <c r="I27" s="42">
        <v>0</v>
      </c>
      <c r="J27" s="44" t="s">
        <v>31</v>
      </c>
      <c r="K27" s="44" t="s">
        <v>31</v>
      </c>
      <c r="L27" s="44" t="s">
        <v>31</v>
      </c>
      <c r="M27" s="44" t="s">
        <v>31</v>
      </c>
      <c r="N27" s="44" t="s">
        <v>31</v>
      </c>
      <c r="O27" s="44" t="s">
        <v>1469</v>
      </c>
      <c r="P27" s="42"/>
    </row>
    <row r="28" spans="1:16" ht="15.75">
      <c r="A28" t="s">
        <v>424</v>
      </c>
      <c r="B28" s="48">
        <f>B27</f>
        <v>1</v>
      </c>
      <c r="C28" t="s">
        <v>425</v>
      </c>
      <c r="D28" t="s">
        <v>37</v>
      </c>
      <c r="E28" s="46" t="s">
        <v>40</v>
      </c>
      <c r="F28" s="42" t="s">
        <v>1465</v>
      </c>
      <c r="G28" t="s">
        <v>128</v>
      </c>
      <c r="H28" t="s">
        <v>33</v>
      </c>
      <c r="I28" s="42">
        <v>0</v>
      </c>
      <c r="J28" s="44" t="s">
        <v>31</v>
      </c>
      <c r="K28" s="44" t="s">
        <v>31</v>
      </c>
      <c r="L28" s="44" t="s">
        <v>31</v>
      </c>
      <c r="M28" s="44" t="s">
        <v>31</v>
      </c>
      <c r="N28" s="44" t="s">
        <v>31</v>
      </c>
    </row>
    <row r="29" spans="1:16" ht="15.75">
      <c r="A29" t="s">
        <v>1302</v>
      </c>
      <c r="B29">
        <f>0.9*B28</f>
        <v>0.9</v>
      </c>
      <c r="D29" t="s">
        <v>37</v>
      </c>
      <c r="E29" s="46" t="s">
        <v>40</v>
      </c>
      <c r="F29" s="42" t="s">
        <v>1465</v>
      </c>
      <c r="G29" t="s">
        <v>58</v>
      </c>
      <c r="H29" t="s">
        <v>243</v>
      </c>
      <c r="I29" s="42">
        <v>0</v>
      </c>
      <c r="J29" s="44" t="s">
        <v>31</v>
      </c>
      <c r="K29" s="44" t="s">
        <v>31</v>
      </c>
      <c r="L29" s="44" t="s">
        <v>31</v>
      </c>
      <c r="M29" s="44" t="s">
        <v>31</v>
      </c>
      <c r="N29" s="44" t="s">
        <v>31</v>
      </c>
      <c r="O29" s="42" t="s">
        <v>1301</v>
      </c>
    </row>
    <row r="30" spans="1:16" ht="15.75">
      <c r="A30" t="s">
        <v>380</v>
      </c>
      <c r="B30" s="23">
        <f>-(1-B29)</f>
        <v>-9.9999999999999978E-2</v>
      </c>
      <c r="D30" t="s">
        <v>37</v>
      </c>
      <c r="E30" s="47" t="s">
        <v>40</v>
      </c>
      <c r="F30" s="42" t="s">
        <v>1465</v>
      </c>
      <c r="G30" t="s">
        <v>58</v>
      </c>
      <c r="H30" t="s">
        <v>33</v>
      </c>
      <c r="I30">
        <v>0</v>
      </c>
      <c r="J30" t="s">
        <v>31</v>
      </c>
      <c r="K30" t="s">
        <v>31</v>
      </c>
      <c r="L30" t="s">
        <v>31</v>
      </c>
      <c r="M30" t="s">
        <v>31</v>
      </c>
      <c r="N30" t="s">
        <v>31</v>
      </c>
      <c r="O30" s="17"/>
      <c r="P30" s="42"/>
    </row>
    <row r="31" spans="1:16" s="41" customFormat="1" ht="15.75">
      <c r="A31" s="38" t="s">
        <v>5</v>
      </c>
      <c r="B31" s="38" t="s">
        <v>1470</v>
      </c>
      <c r="C31" s="38"/>
      <c r="D31" s="39"/>
      <c r="E31" s="40"/>
      <c r="F31" s="40"/>
      <c r="G31" s="40"/>
      <c r="H31" s="40"/>
      <c r="I31" s="40"/>
      <c r="J31" s="40"/>
      <c r="K31" s="40"/>
      <c r="L31" s="40"/>
      <c r="M31" s="40"/>
      <c r="N31" s="40"/>
      <c r="O31" s="40"/>
      <c r="P31" s="40"/>
    </row>
    <row r="32" spans="1:16">
      <c r="A32" s="42" t="s">
        <v>7</v>
      </c>
      <c r="B32" s="42" t="s">
        <v>1349</v>
      </c>
      <c r="C32" s="42"/>
      <c r="D32" s="42"/>
      <c r="E32" s="42"/>
      <c r="F32" s="42"/>
      <c r="G32" s="42"/>
      <c r="H32" s="42"/>
      <c r="I32" s="42"/>
      <c r="J32" s="42"/>
      <c r="K32" s="42"/>
      <c r="L32" s="42"/>
      <c r="M32" s="42"/>
      <c r="N32" s="42"/>
      <c r="O32" s="42"/>
      <c r="P32" s="42"/>
    </row>
    <row r="33" spans="1:16">
      <c r="A33" s="42" t="s">
        <v>9</v>
      </c>
      <c r="B33" s="43" t="s">
        <v>1471</v>
      </c>
      <c r="C33" s="42"/>
      <c r="D33" s="42"/>
      <c r="E33" s="42"/>
      <c r="F33" s="42"/>
      <c r="G33" s="42"/>
      <c r="H33" s="42"/>
      <c r="I33" s="42"/>
      <c r="J33" s="42"/>
      <c r="K33" s="42"/>
      <c r="L33" s="42"/>
      <c r="M33" s="42"/>
      <c r="N33" s="42"/>
      <c r="O33" s="42"/>
      <c r="P33" s="42"/>
    </row>
    <row r="34" spans="1:16">
      <c r="A34" s="42" t="s">
        <v>11</v>
      </c>
      <c r="B34" s="42" t="s">
        <v>1464</v>
      </c>
      <c r="C34" s="42"/>
      <c r="D34" s="42"/>
      <c r="E34" s="42"/>
      <c r="F34" s="42"/>
      <c r="G34" s="42"/>
      <c r="H34" s="42"/>
      <c r="I34" s="42"/>
      <c r="J34" s="42"/>
      <c r="K34" s="42"/>
      <c r="L34" s="42"/>
      <c r="M34" s="42"/>
      <c r="N34" s="42"/>
      <c r="O34" s="42"/>
      <c r="P34" s="42"/>
    </row>
    <row r="35" spans="1:16">
      <c r="A35" s="42" t="s">
        <v>13</v>
      </c>
      <c r="B35" s="42" t="s">
        <v>58</v>
      </c>
      <c r="C35" s="42"/>
      <c r="D35" s="42"/>
      <c r="E35" s="42"/>
      <c r="F35" s="42"/>
      <c r="G35" s="42"/>
      <c r="H35" s="42"/>
      <c r="I35" s="42"/>
      <c r="J35" s="42"/>
      <c r="K35" s="42"/>
      <c r="L35" s="42"/>
      <c r="M35" s="42"/>
      <c r="N35" s="42"/>
      <c r="O35" s="42"/>
      <c r="P35" s="42"/>
    </row>
    <row r="36" spans="1:16">
      <c r="A36" s="42" t="s">
        <v>15</v>
      </c>
      <c r="B36" s="42">
        <v>1</v>
      </c>
      <c r="C36" s="42"/>
      <c r="D36" s="42"/>
      <c r="E36" s="42"/>
      <c r="F36" s="42"/>
      <c r="G36" s="42"/>
      <c r="H36" s="42"/>
      <c r="I36" s="42"/>
      <c r="J36" s="42"/>
      <c r="K36" s="42"/>
      <c r="L36" s="42"/>
      <c r="M36" s="42"/>
      <c r="N36" s="42"/>
      <c r="O36" s="42"/>
      <c r="P36" s="42"/>
    </row>
    <row r="37" spans="1:16">
      <c r="A37" s="42" t="s">
        <v>16</v>
      </c>
      <c r="B37" s="42" t="s">
        <v>17</v>
      </c>
      <c r="C37" s="42"/>
      <c r="D37" s="42"/>
      <c r="E37" s="42"/>
      <c r="F37" s="42"/>
      <c r="G37" s="42"/>
      <c r="H37" s="42"/>
      <c r="I37" s="42"/>
      <c r="J37" s="42"/>
      <c r="K37" s="42"/>
      <c r="L37" s="42"/>
      <c r="M37" s="42"/>
      <c r="N37" s="42"/>
      <c r="O37" s="42"/>
      <c r="P37" s="42"/>
    </row>
    <row r="38" spans="1:16" ht="15.75">
      <c r="A38" s="42" t="s">
        <v>18</v>
      </c>
      <c r="B38" s="44" t="s">
        <v>37</v>
      </c>
      <c r="C38" s="42"/>
      <c r="D38" s="42"/>
      <c r="E38" s="42" t="s">
        <v>197</v>
      </c>
      <c r="F38" s="42"/>
      <c r="G38" s="42"/>
      <c r="H38" s="42"/>
      <c r="I38" s="42"/>
      <c r="J38" s="42"/>
      <c r="K38" s="42"/>
      <c r="L38" s="42"/>
      <c r="M38" s="42"/>
      <c r="N38" s="42"/>
      <c r="O38" s="42"/>
      <c r="P38" s="42"/>
    </row>
    <row r="39" spans="1:16" ht="15.75">
      <c r="A39" s="45" t="s">
        <v>19</v>
      </c>
      <c r="B39" s="42"/>
      <c r="C39" s="42"/>
      <c r="D39" s="42"/>
      <c r="E39" s="42"/>
      <c r="F39" s="42"/>
      <c r="G39" s="42"/>
      <c r="H39" s="42"/>
      <c r="I39" s="42"/>
      <c r="J39" s="42"/>
      <c r="K39" s="42"/>
      <c r="L39" s="42"/>
      <c r="M39" s="42"/>
      <c r="N39" s="42"/>
      <c r="O39" s="42"/>
      <c r="P39" s="42"/>
    </row>
    <row r="40" spans="1:16" ht="15.75">
      <c r="A40" s="45" t="s">
        <v>20</v>
      </c>
      <c r="B40" s="45" t="s">
        <v>21</v>
      </c>
      <c r="C40" s="45" t="s">
        <v>198</v>
      </c>
      <c r="D40" s="45" t="s">
        <v>18</v>
      </c>
      <c r="E40" s="45" t="s">
        <v>22</v>
      </c>
      <c r="F40" s="45" t="s">
        <v>7</v>
      </c>
      <c r="G40" s="45" t="s">
        <v>13</v>
      </c>
      <c r="H40" s="45" t="s">
        <v>16</v>
      </c>
      <c r="I40" s="45" t="s">
        <v>23</v>
      </c>
      <c r="J40" s="45" t="s">
        <v>24</v>
      </c>
      <c r="K40" s="45" t="s">
        <v>25</v>
      </c>
      <c r="L40" s="45" t="s">
        <v>26</v>
      </c>
      <c r="M40" s="45" t="s">
        <v>27</v>
      </c>
      <c r="N40" s="45" t="s">
        <v>28</v>
      </c>
      <c r="O40" s="45" t="s">
        <v>11</v>
      </c>
      <c r="P40" s="45" t="s">
        <v>199</v>
      </c>
    </row>
    <row r="41" spans="1:16" ht="15.75">
      <c r="A41" s="44" t="str">
        <f>B31</f>
        <v>treatment of steel,PEMFC EoL, PEMFC-bat, Medium-Term</v>
      </c>
      <c r="B41" s="44">
        <v>1</v>
      </c>
      <c r="C41" s="44"/>
      <c r="D41" s="44" t="s">
        <v>37</v>
      </c>
      <c r="E41" s="42" t="s">
        <v>2</v>
      </c>
      <c r="F41" s="42" t="s">
        <v>1465</v>
      </c>
      <c r="G41" s="44" t="s">
        <v>58</v>
      </c>
      <c r="H41" s="42" t="s">
        <v>30</v>
      </c>
      <c r="I41" s="42">
        <v>0</v>
      </c>
      <c r="J41" s="44" t="s">
        <v>31</v>
      </c>
      <c r="K41" s="44" t="s">
        <v>31</v>
      </c>
      <c r="L41" s="44" t="s">
        <v>31</v>
      </c>
      <c r="M41" s="44" t="s">
        <v>31</v>
      </c>
      <c r="N41" s="44" t="s">
        <v>31</v>
      </c>
      <c r="O41" s="44" t="s">
        <v>1419</v>
      </c>
      <c r="P41" s="42"/>
    </row>
    <row r="42" spans="1:16" ht="15.75">
      <c r="A42" t="s">
        <v>240</v>
      </c>
      <c r="B42" s="23">
        <v>0.85</v>
      </c>
      <c r="C42" s="44"/>
      <c r="D42" s="44" t="s">
        <v>37</v>
      </c>
      <c r="E42" s="47" t="s">
        <v>40</v>
      </c>
      <c r="F42" s="42" t="s">
        <v>1465</v>
      </c>
      <c r="G42" s="44" t="s">
        <v>128</v>
      </c>
      <c r="H42" s="42" t="s">
        <v>33</v>
      </c>
      <c r="I42" s="42">
        <v>0</v>
      </c>
      <c r="J42" s="44" t="s">
        <v>31</v>
      </c>
      <c r="K42" s="44" t="s">
        <v>31</v>
      </c>
      <c r="L42" s="44" t="s">
        <v>31</v>
      </c>
      <c r="M42" s="44" t="s">
        <v>31</v>
      </c>
      <c r="N42" s="44" t="s">
        <v>31</v>
      </c>
      <c r="O42" s="42"/>
      <c r="P42" s="42"/>
    </row>
    <row r="43" spans="1:16" ht="15.75">
      <c r="A43" t="s">
        <v>704</v>
      </c>
      <c r="B43" s="23">
        <f>0.9*B42</f>
        <v>0.76500000000000001</v>
      </c>
      <c r="C43" s="44"/>
      <c r="D43" s="44" t="s">
        <v>37</v>
      </c>
      <c r="E43" s="47" t="s">
        <v>40</v>
      </c>
      <c r="F43" s="42" t="s">
        <v>1465</v>
      </c>
      <c r="G43" s="44" t="s">
        <v>58</v>
      </c>
      <c r="H43" s="42" t="s">
        <v>243</v>
      </c>
      <c r="I43" s="42">
        <v>0</v>
      </c>
      <c r="J43" s="44" t="s">
        <v>31</v>
      </c>
      <c r="K43" s="44" t="s">
        <v>31</v>
      </c>
      <c r="L43" s="44" t="s">
        <v>31</v>
      </c>
      <c r="M43" s="44" t="s">
        <v>31</v>
      </c>
      <c r="N43" s="44" t="s">
        <v>31</v>
      </c>
      <c r="O43" s="42"/>
      <c r="P43" s="42" t="s">
        <v>1301</v>
      </c>
    </row>
    <row r="44" spans="1:16" ht="16.5" customHeight="1">
      <c r="A44" t="s">
        <v>380</v>
      </c>
      <c r="B44" s="23">
        <f>-(1-B43)</f>
        <v>-0.23499999999999999</v>
      </c>
      <c r="D44" t="s">
        <v>37</v>
      </c>
      <c r="E44" s="47" t="s">
        <v>40</v>
      </c>
      <c r="F44" s="42" t="s">
        <v>1465</v>
      </c>
      <c r="G44" t="s">
        <v>58</v>
      </c>
      <c r="H44" t="s">
        <v>33</v>
      </c>
      <c r="I44">
        <v>0</v>
      </c>
      <c r="J44" t="s">
        <v>31</v>
      </c>
      <c r="K44" t="s">
        <v>31</v>
      </c>
      <c r="L44" t="s">
        <v>31</v>
      </c>
      <c r="M44" t="s">
        <v>31</v>
      </c>
      <c r="N44" t="s">
        <v>31</v>
      </c>
      <c r="O44" s="17"/>
      <c r="P44" s="42" t="s">
        <v>1399</v>
      </c>
    </row>
    <row r="45" spans="1:16" s="41" customFormat="1" ht="15.75">
      <c r="A45" s="38" t="s">
        <v>5</v>
      </c>
      <c r="B45" s="38" t="s">
        <v>1472</v>
      </c>
      <c r="C45" s="38"/>
      <c r="D45" s="39"/>
      <c r="E45" s="40"/>
      <c r="F45" s="40"/>
      <c r="G45" s="40"/>
      <c r="H45" s="40"/>
      <c r="I45" s="40"/>
      <c r="J45" s="40"/>
      <c r="K45" s="40"/>
      <c r="L45" s="40"/>
      <c r="M45" s="40"/>
      <c r="N45" s="40"/>
      <c r="O45" s="40"/>
      <c r="P45" s="40"/>
    </row>
    <row r="46" spans="1:16">
      <c r="A46" s="42" t="s">
        <v>7</v>
      </c>
      <c r="B46" s="42" t="s">
        <v>1349</v>
      </c>
      <c r="C46" s="42"/>
      <c r="D46" s="42"/>
      <c r="E46" s="42"/>
      <c r="F46" s="42"/>
      <c r="G46" s="42"/>
      <c r="H46" s="42"/>
      <c r="I46" s="42"/>
      <c r="J46" s="42"/>
      <c r="K46" s="42"/>
      <c r="L46" s="42"/>
      <c r="M46" s="42"/>
      <c r="N46" s="42"/>
      <c r="O46" s="42"/>
      <c r="P46" s="42"/>
    </row>
    <row r="47" spans="1:16">
      <c r="A47" s="42" t="s">
        <v>9</v>
      </c>
      <c r="B47" s="43" t="s">
        <v>1473</v>
      </c>
      <c r="C47" s="42"/>
      <c r="D47" s="42"/>
      <c r="E47" s="42"/>
      <c r="F47" s="42"/>
      <c r="G47" s="42"/>
      <c r="H47" s="42"/>
      <c r="I47" s="42"/>
      <c r="J47" s="42"/>
      <c r="K47" s="42"/>
      <c r="L47" s="42"/>
      <c r="M47" s="42"/>
      <c r="N47" s="42"/>
      <c r="O47" s="42"/>
      <c r="P47" s="42"/>
    </row>
    <row r="48" spans="1:16">
      <c r="A48" s="42" t="s">
        <v>11</v>
      </c>
      <c r="B48" s="42" t="s">
        <v>1474</v>
      </c>
      <c r="C48" s="42"/>
      <c r="D48" s="42"/>
      <c r="E48" s="42"/>
      <c r="F48" s="42"/>
      <c r="G48" s="42"/>
      <c r="H48" s="42"/>
      <c r="I48" s="42"/>
      <c r="J48" s="42"/>
      <c r="K48" s="42"/>
      <c r="L48" s="42"/>
      <c r="M48" s="42"/>
      <c r="N48" s="42"/>
      <c r="O48" s="42"/>
      <c r="P48" s="42"/>
    </row>
    <row r="49" spans="1:16">
      <c r="A49" s="42" t="s">
        <v>13</v>
      </c>
      <c r="B49" s="42" t="s">
        <v>58</v>
      </c>
      <c r="C49" s="42"/>
      <c r="D49" s="42"/>
      <c r="E49" s="42"/>
      <c r="F49" s="42"/>
      <c r="G49" s="42"/>
      <c r="H49" s="42"/>
      <c r="I49" s="42"/>
      <c r="J49" s="42"/>
      <c r="K49" s="42"/>
      <c r="L49" s="42"/>
      <c r="M49" s="42"/>
      <c r="N49" s="42"/>
      <c r="O49" s="42"/>
      <c r="P49" s="42"/>
    </row>
    <row r="50" spans="1:16">
      <c r="A50" s="42" t="s">
        <v>15</v>
      </c>
      <c r="B50" s="42">
        <v>1</v>
      </c>
      <c r="C50" s="42"/>
      <c r="D50" s="42"/>
      <c r="E50" s="42"/>
      <c r="F50" s="42"/>
      <c r="G50" s="42"/>
      <c r="H50" s="42"/>
      <c r="I50" s="42"/>
      <c r="J50" s="42"/>
      <c r="K50" s="42"/>
      <c r="L50" s="42"/>
      <c r="M50" s="42"/>
      <c r="N50" s="42"/>
      <c r="O50" s="42"/>
      <c r="P50" s="42"/>
    </row>
    <row r="51" spans="1:16">
      <c r="A51" s="42" t="s">
        <v>16</v>
      </c>
      <c r="B51" s="42" t="s">
        <v>17</v>
      </c>
      <c r="C51" s="42"/>
      <c r="D51" s="42"/>
      <c r="E51" s="42"/>
      <c r="F51" s="42"/>
      <c r="G51" s="42"/>
      <c r="H51" s="42"/>
      <c r="I51" s="42"/>
      <c r="J51" s="42"/>
      <c r="K51" s="42"/>
      <c r="L51" s="42"/>
      <c r="M51" s="42"/>
      <c r="N51" s="42"/>
      <c r="O51" s="42"/>
      <c r="P51" s="42"/>
    </row>
    <row r="52" spans="1:16" ht="15.75">
      <c r="A52" s="42" t="s">
        <v>18</v>
      </c>
      <c r="B52" s="44" t="s">
        <v>37</v>
      </c>
      <c r="C52" s="42"/>
      <c r="D52" s="42"/>
      <c r="E52" s="42" t="s">
        <v>197</v>
      </c>
      <c r="F52" s="42"/>
      <c r="G52" s="42"/>
      <c r="H52" s="42"/>
      <c r="I52" s="42"/>
      <c r="J52" s="42"/>
      <c r="K52" s="42"/>
      <c r="L52" s="42"/>
      <c r="M52" s="42"/>
      <c r="N52" s="42"/>
      <c r="O52" s="42"/>
      <c r="P52" s="42"/>
    </row>
    <row r="53" spans="1:16" ht="15.75">
      <c r="A53" s="45" t="s">
        <v>19</v>
      </c>
      <c r="B53" s="42"/>
      <c r="C53" s="42"/>
      <c r="D53" s="42"/>
      <c r="E53" s="42"/>
      <c r="F53" s="42"/>
      <c r="G53" s="42"/>
      <c r="H53" s="42"/>
      <c r="I53" s="42"/>
      <c r="J53" s="42"/>
      <c r="K53" s="42"/>
      <c r="L53" s="42"/>
      <c r="M53" s="42"/>
      <c r="N53" s="42"/>
      <c r="O53" s="42"/>
      <c r="P53" s="42"/>
    </row>
    <row r="54" spans="1:16" ht="15.75">
      <c r="A54" s="45" t="s">
        <v>20</v>
      </c>
      <c r="B54" s="45" t="s">
        <v>21</v>
      </c>
      <c r="C54" s="45" t="s">
        <v>198</v>
      </c>
      <c r="D54" s="45" t="s">
        <v>18</v>
      </c>
      <c r="E54" s="45" t="s">
        <v>22</v>
      </c>
      <c r="F54" s="45" t="s">
        <v>7</v>
      </c>
      <c r="G54" s="45" t="s">
        <v>13</v>
      </c>
      <c r="H54" s="45" t="s">
        <v>16</v>
      </c>
      <c r="I54" s="45" t="s">
        <v>23</v>
      </c>
      <c r="J54" s="45" t="s">
        <v>24</v>
      </c>
      <c r="K54" s="45" t="s">
        <v>25</v>
      </c>
      <c r="L54" s="45" t="s">
        <v>26</v>
      </c>
      <c r="M54" s="45" t="s">
        <v>27</v>
      </c>
      <c r="N54" s="45" t="s">
        <v>28</v>
      </c>
      <c r="O54" s="45" t="s">
        <v>11</v>
      </c>
      <c r="P54" s="45" t="s">
        <v>199</v>
      </c>
    </row>
    <row r="55" spans="1:16" ht="15.75">
      <c r="A55" s="44" t="str">
        <f>B45</f>
        <v>treatment of composites,PEMFC EoL, PEMFC-bat, Medium-Term</v>
      </c>
      <c r="B55" s="44">
        <v>1</v>
      </c>
      <c r="C55" s="44"/>
      <c r="D55" s="44" t="s">
        <v>37</v>
      </c>
      <c r="E55" s="42" t="s">
        <v>2</v>
      </c>
      <c r="F55" s="42" t="s">
        <v>1465</v>
      </c>
      <c r="G55" s="44" t="s">
        <v>58</v>
      </c>
      <c r="H55" s="42" t="s">
        <v>30</v>
      </c>
      <c r="I55" s="42">
        <v>0</v>
      </c>
      <c r="J55" s="44" t="s">
        <v>31</v>
      </c>
      <c r="K55" s="44" t="s">
        <v>31</v>
      </c>
      <c r="L55" s="44" t="s">
        <v>31</v>
      </c>
      <c r="M55" s="44" t="s">
        <v>31</v>
      </c>
      <c r="N55" s="44" t="s">
        <v>31</v>
      </c>
      <c r="O55" s="44" t="s">
        <v>1416</v>
      </c>
      <c r="P55" s="42"/>
    </row>
    <row r="56" spans="1:16" ht="15.75">
      <c r="A56" s="47" t="s">
        <v>1475</v>
      </c>
      <c r="B56">
        <v>-1</v>
      </c>
      <c r="D56" s="44" t="s">
        <v>37</v>
      </c>
      <c r="E56" s="47" t="s">
        <v>40</v>
      </c>
      <c r="F56" s="42" t="s">
        <v>1465</v>
      </c>
      <c r="G56" t="s">
        <v>128</v>
      </c>
      <c r="H56" t="s">
        <v>33</v>
      </c>
      <c r="I56">
        <v>0</v>
      </c>
      <c r="J56" t="s">
        <v>31</v>
      </c>
      <c r="K56" t="s">
        <v>31</v>
      </c>
      <c r="L56" t="s">
        <v>31</v>
      </c>
      <c r="M56" t="s">
        <v>31</v>
      </c>
      <c r="N56" t="s">
        <v>31</v>
      </c>
    </row>
    <row r="57" spans="1:16" s="41" customFormat="1" ht="15.75">
      <c r="A57" s="38" t="s">
        <v>5</v>
      </c>
      <c r="B57" s="38" t="s">
        <v>1476</v>
      </c>
      <c r="C57" s="38"/>
      <c r="D57" s="39"/>
      <c r="E57" s="40"/>
      <c r="F57" s="40"/>
      <c r="G57" s="40"/>
      <c r="H57" s="40"/>
      <c r="I57" s="40"/>
      <c r="J57" s="40"/>
      <c r="K57" s="40"/>
      <c r="L57" s="40"/>
      <c r="M57" s="40"/>
      <c r="N57" s="40"/>
      <c r="O57" s="40"/>
      <c r="P57" s="40"/>
    </row>
    <row r="58" spans="1:16">
      <c r="A58" s="42" t="s">
        <v>7</v>
      </c>
      <c r="B58" s="42" t="s">
        <v>1349</v>
      </c>
      <c r="C58" s="42"/>
      <c r="D58" s="42"/>
      <c r="E58" s="42"/>
      <c r="F58" s="42"/>
      <c r="G58" s="42"/>
      <c r="H58" s="42"/>
      <c r="I58" s="42"/>
      <c r="J58" s="42"/>
      <c r="K58" s="42"/>
      <c r="L58" s="42"/>
      <c r="M58" s="42"/>
      <c r="N58" s="42"/>
      <c r="O58" s="42"/>
      <c r="P58" s="42"/>
    </row>
    <row r="59" spans="1:16">
      <c r="A59" s="42" t="s">
        <v>9</v>
      </c>
      <c r="B59" s="43" t="s">
        <v>1477</v>
      </c>
      <c r="C59" s="42"/>
      <c r="D59" s="42"/>
      <c r="E59" s="42"/>
      <c r="F59" s="42"/>
      <c r="G59" s="42"/>
      <c r="H59" s="42"/>
      <c r="I59" s="42"/>
      <c r="J59" s="42"/>
      <c r="K59" s="42"/>
      <c r="L59" s="42"/>
      <c r="M59" s="42"/>
      <c r="N59" s="42"/>
      <c r="O59" s="42"/>
      <c r="P59" s="42"/>
    </row>
    <row r="60" spans="1:16">
      <c r="A60" s="42" t="s">
        <v>11</v>
      </c>
      <c r="B60" s="42" t="s">
        <v>1474</v>
      </c>
      <c r="C60" s="42"/>
      <c r="D60" s="42"/>
      <c r="E60" s="42"/>
      <c r="F60" s="42"/>
      <c r="G60" s="42"/>
      <c r="H60" s="42"/>
      <c r="I60" s="42"/>
      <c r="J60" s="42"/>
      <c r="K60" s="42"/>
      <c r="L60" s="42"/>
      <c r="M60" s="42"/>
      <c r="N60" s="42"/>
      <c r="O60" s="42"/>
      <c r="P60" s="42"/>
    </row>
    <row r="61" spans="1:16">
      <c r="A61" s="42" t="s">
        <v>13</v>
      </c>
      <c r="B61" s="42" t="s">
        <v>58</v>
      </c>
      <c r="C61" s="42"/>
      <c r="D61" s="42"/>
      <c r="E61" s="42"/>
      <c r="F61" s="42"/>
      <c r="G61" s="42"/>
      <c r="H61" s="42"/>
      <c r="I61" s="42"/>
      <c r="J61" s="42"/>
      <c r="K61" s="42"/>
      <c r="L61" s="42"/>
      <c r="M61" s="42"/>
      <c r="N61" s="42"/>
      <c r="O61" s="42"/>
      <c r="P61" s="42"/>
    </row>
    <row r="62" spans="1:16">
      <c r="A62" s="42" t="s">
        <v>15</v>
      </c>
      <c r="B62" s="42">
        <v>1</v>
      </c>
      <c r="C62" s="42"/>
      <c r="D62" s="42"/>
      <c r="E62" s="42"/>
      <c r="F62" s="42"/>
      <c r="G62" s="42"/>
      <c r="H62" s="42"/>
      <c r="I62" s="42"/>
      <c r="J62" s="42"/>
      <c r="K62" s="42"/>
      <c r="L62" s="42"/>
      <c r="M62" s="42"/>
      <c r="N62" s="42"/>
      <c r="O62" s="42"/>
      <c r="P62" s="42"/>
    </row>
    <row r="63" spans="1:16">
      <c r="A63" s="42" t="s">
        <v>16</v>
      </c>
      <c r="B63" s="42" t="s">
        <v>17</v>
      </c>
      <c r="C63" s="42"/>
      <c r="D63" s="42"/>
      <c r="E63" s="42"/>
      <c r="F63" s="42"/>
      <c r="G63" s="42"/>
      <c r="H63" s="42"/>
      <c r="I63" s="42"/>
      <c r="J63" s="42"/>
      <c r="K63" s="42"/>
      <c r="L63" s="42"/>
      <c r="M63" s="42"/>
      <c r="N63" s="42"/>
      <c r="O63" s="42"/>
      <c r="P63" s="42"/>
    </row>
    <row r="64" spans="1:16" ht="15.75">
      <c r="A64" s="42" t="s">
        <v>18</v>
      </c>
      <c r="B64" s="44" t="s">
        <v>37</v>
      </c>
      <c r="C64" s="42"/>
      <c r="D64" s="42"/>
      <c r="E64" s="42" t="s">
        <v>197</v>
      </c>
      <c r="F64" s="42"/>
      <c r="G64" s="42"/>
      <c r="H64" s="42"/>
      <c r="I64" s="42"/>
      <c r="J64" s="42"/>
      <c r="K64" s="42"/>
      <c r="L64" s="42"/>
      <c r="M64" s="42"/>
      <c r="N64" s="42"/>
      <c r="O64" s="42"/>
      <c r="P64" s="42"/>
    </row>
    <row r="65" spans="1:16" ht="15.75">
      <c r="A65" s="45" t="s">
        <v>19</v>
      </c>
      <c r="B65" s="42"/>
      <c r="C65" s="42"/>
      <c r="D65" s="42"/>
      <c r="E65" s="42"/>
      <c r="F65" s="42"/>
      <c r="G65" s="42"/>
      <c r="H65" s="42"/>
      <c r="I65" s="42"/>
      <c r="J65" s="42"/>
      <c r="K65" s="42"/>
      <c r="L65" s="42"/>
      <c r="M65" s="42"/>
      <c r="N65" s="42"/>
      <c r="O65" s="42"/>
      <c r="P65" s="42"/>
    </row>
    <row r="66" spans="1:16" ht="15.75">
      <c r="A66" s="45" t="s">
        <v>20</v>
      </c>
      <c r="B66" s="45" t="s">
        <v>21</v>
      </c>
      <c r="C66" s="45" t="s">
        <v>198</v>
      </c>
      <c r="D66" s="45" t="s">
        <v>18</v>
      </c>
      <c r="E66" s="45" t="s">
        <v>22</v>
      </c>
      <c r="F66" s="45" t="s">
        <v>7</v>
      </c>
      <c r="G66" s="45" t="s">
        <v>13</v>
      </c>
      <c r="H66" s="45" t="s">
        <v>16</v>
      </c>
      <c r="I66" s="45" t="s">
        <v>23</v>
      </c>
      <c r="J66" s="45" t="s">
        <v>24</v>
      </c>
      <c r="K66" s="45" t="s">
        <v>25</v>
      </c>
      <c r="L66" s="45" t="s">
        <v>26</v>
      </c>
      <c r="M66" s="45" t="s">
        <v>27</v>
      </c>
      <c r="N66" s="45" t="s">
        <v>28</v>
      </c>
      <c r="O66" s="45" t="s">
        <v>11</v>
      </c>
      <c r="P66" s="45" t="s">
        <v>199</v>
      </c>
    </row>
    <row r="67" spans="1:16" ht="15.75">
      <c r="A67" s="44" t="str">
        <f>B57</f>
        <v>treatment of graphite and resin,PEMFC EoL, PEMFC-bat, Medium-Term</v>
      </c>
      <c r="B67" s="44">
        <v>1</v>
      </c>
      <c r="C67" s="44"/>
      <c r="D67" s="44" t="s">
        <v>37</v>
      </c>
      <c r="E67" s="42" t="s">
        <v>2</v>
      </c>
      <c r="F67" s="42" t="s">
        <v>1465</v>
      </c>
      <c r="G67" s="44" t="s">
        <v>58</v>
      </c>
      <c r="H67" s="42" t="s">
        <v>30</v>
      </c>
      <c r="I67" s="42">
        <v>0</v>
      </c>
      <c r="J67" s="44" t="s">
        <v>31</v>
      </c>
      <c r="K67" s="44" t="s">
        <v>31</v>
      </c>
      <c r="L67" s="44" t="s">
        <v>31</v>
      </c>
      <c r="M67" s="44" t="s">
        <v>31</v>
      </c>
      <c r="N67" s="44" t="s">
        <v>31</v>
      </c>
      <c r="O67" s="44" t="s">
        <v>1478</v>
      </c>
      <c r="P67" s="42"/>
    </row>
    <row r="68" spans="1:16" ht="15.75">
      <c r="A68" s="47" t="s">
        <v>1479</v>
      </c>
      <c r="B68">
        <v>-1</v>
      </c>
      <c r="D68" s="44" t="s">
        <v>37</v>
      </c>
      <c r="E68" s="42" t="s">
        <v>2</v>
      </c>
      <c r="F68" s="42" t="s">
        <v>1465</v>
      </c>
      <c r="G68" s="44" t="s">
        <v>128</v>
      </c>
      <c r="H68" s="42" t="s">
        <v>33</v>
      </c>
      <c r="I68" s="42">
        <v>0</v>
      </c>
      <c r="J68" s="44" t="s">
        <v>31</v>
      </c>
      <c r="K68" s="44" t="s">
        <v>31</v>
      </c>
      <c r="L68" s="44" t="s">
        <v>31</v>
      </c>
      <c r="M68" s="44" t="s">
        <v>31</v>
      </c>
      <c r="N68" s="44" t="s">
        <v>31</v>
      </c>
    </row>
    <row r="69" spans="1:16" s="41" customFormat="1" ht="15.75">
      <c r="A69" s="38" t="s">
        <v>5</v>
      </c>
      <c r="B69" s="38" t="s">
        <v>1480</v>
      </c>
      <c r="C69" s="38"/>
      <c r="D69" s="39"/>
      <c r="E69" s="40"/>
      <c r="F69" s="40"/>
      <c r="G69" s="40"/>
      <c r="H69" s="40"/>
      <c r="I69" s="40"/>
      <c r="J69" s="40"/>
      <c r="K69" s="40"/>
      <c r="L69" s="40"/>
      <c r="M69" s="40"/>
      <c r="N69" s="40"/>
      <c r="O69" s="40"/>
      <c r="P69" s="40"/>
    </row>
    <row r="70" spans="1:16">
      <c r="A70" s="42" t="s">
        <v>7</v>
      </c>
      <c r="B70" s="42" t="s">
        <v>1349</v>
      </c>
      <c r="C70" s="42"/>
      <c r="D70" s="42"/>
      <c r="E70" s="42"/>
      <c r="F70" s="42"/>
      <c r="G70" s="42"/>
      <c r="H70" s="42"/>
      <c r="I70" s="42"/>
      <c r="J70" s="42"/>
      <c r="K70" s="42"/>
      <c r="L70" s="42"/>
      <c r="M70" s="42"/>
      <c r="N70" s="42"/>
      <c r="O70" s="42"/>
      <c r="P70" s="42"/>
    </row>
    <row r="71" spans="1:16">
      <c r="A71" s="42" t="s">
        <v>9</v>
      </c>
      <c r="B71" s="43" t="s">
        <v>1481</v>
      </c>
      <c r="C71" s="42"/>
      <c r="D71" s="42"/>
      <c r="E71" s="42"/>
      <c r="F71" s="42"/>
      <c r="G71" s="42"/>
      <c r="H71" s="42"/>
      <c r="I71" s="42"/>
      <c r="J71" s="42"/>
      <c r="K71" s="42"/>
      <c r="L71" s="42"/>
      <c r="M71" s="42"/>
      <c r="N71" s="42"/>
      <c r="O71" s="42"/>
      <c r="P71" s="42"/>
    </row>
    <row r="72" spans="1:16">
      <c r="A72" s="42" t="s">
        <v>11</v>
      </c>
      <c r="B72" s="42" t="s">
        <v>1474</v>
      </c>
      <c r="C72" s="42"/>
      <c r="D72" s="42"/>
      <c r="E72" s="42"/>
      <c r="F72" s="42"/>
      <c r="G72" s="42"/>
      <c r="H72" s="42"/>
      <c r="I72" s="42"/>
      <c r="J72" s="42"/>
      <c r="K72" s="42"/>
      <c r="L72" s="42"/>
      <c r="M72" s="42"/>
      <c r="N72" s="42"/>
      <c r="O72" s="42"/>
      <c r="P72" s="42"/>
    </row>
    <row r="73" spans="1:16">
      <c r="A73" s="42" t="s">
        <v>13</v>
      </c>
      <c r="B73" s="42" t="s">
        <v>58</v>
      </c>
      <c r="C73" s="42"/>
      <c r="D73" s="42"/>
      <c r="E73" s="42"/>
      <c r="F73" s="42"/>
      <c r="G73" s="42"/>
      <c r="H73" s="42"/>
      <c r="I73" s="42"/>
      <c r="J73" s="42"/>
      <c r="K73" s="42"/>
      <c r="L73" s="42"/>
      <c r="M73" s="42"/>
      <c r="N73" s="42"/>
      <c r="O73" s="42"/>
      <c r="P73" s="42"/>
    </row>
    <row r="74" spans="1:16">
      <c r="A74" s="42" t="s">
        <v>15</v>
      </c>
      <c r="B74" s="42">
        <v>1</v>
      </c>
      <c r="C74" s="42"/>
      <c r="D74" s="42"/>
      <c r="E74" s="42"/>
      <c r="F74" s="42"/>
      <c r="G74" s="42"/>
      <c r="H74" s="42"/>
      <c r="I74" s="42"/>
      <c r="J74" s="42"/>
      <c r="K74" s="42"/>
      <c r="L74" s="42"/>
      <c r="M74" s="42"/>
      <c r="N74" s="42"/>
      <c r="O74" s="42"/>
      <c r="P74" s="42"/>
    </row>
    <row r="75" spans="1:16">
      <c r="A75" s="42" t="s">
        <v>16</v>
      </c>
      <c r="B75" s="42" t="s">
        <v>17</v>
      </c>
      <c r="C75" s="42"/>
      <c r="D75" s="42"/>
      <c r="E75" s="42"/>
      <c r="F75" s="42"/>
      <c r="G75" s="42"/>
      <c r="H75" s="42"/>
      <c r="I75" s="42"/>
      <c r="J75" s="42"/>
      <c r="K75" s="42"/>
      <c r="L75" s="42"/>
      <c r="M75" s="42"/>
      <c r="N75" s="42"/>
      <c r="O75" s="42"/>
      <c r="P75" s="42"/>
    </row>
    <row r="76" spans="1:16" ht="15.75">
      <c r="A76" s="42" t="s">
        <v>18</v>
      </c>
      <c r="B76" s="44" t="s">
        <v>37</v>
      </c>
      <c r="C76" s="42"/>
      <c r="D76" s="42"/>
      <c r="E76" s="42" t="s">
        <v>197</v>
      </c>
      <c r="F76" s="42"/>
      <c r="G76" s="42"/>
      <c r="H76" s="42"/>
      <c r="I76" s="42"/>
      <c r="J76" s="42"/>
      <c r="K76" s="42"/>
      <c r="L76" s="42"/>
      <c r="M76" s="42"/>
      <c r="N76" s="42"/>
      <c r="O76" s="42"/>
      <c r="P76" s="42"/>
    </row>
    <row r="77" spans="1:16" ht="15.75">
      <c r="A77" s="45" t="s">
        <v>19</v>
      </c>
      <c r="B77" s="42"/>
      <c r="C77" s="42"/>
      <c r="D77" s="42"/>
      <c r="E77" s="42"/>
      <c r="F77" s="42"/>
      <c r="G77" s="42"/>
      <c r="H77" s="42"/>
      <c r="I77" s="42"/>
      <c r="J77" s="42"/>
      <c r="K77" s="42"/>
      <c r="L77" s="42"/>
      <c r="M77" s="42"/>
      <c r="N77" s="42"/>
      <c r="O77" s="42"/>
      <c r="P77" s="42"/>
    </row>
    <row r="78" spans="1:16" ht="15.75">
      <c r="A78" s="45" t="s">
        <v>20</v>
      </c>
      <c r="B78" s="45" t="s">
        <v>21</v>
      </c>
      <c r="C78" s="45" t="s">
        <v>198</v>
      </c>
      <c r="D78" s="45" t="s">
        <v>18</v>
      </c>
      <c r="E78" s="45" t="s">
        <v>22</v>
      </c>
      <c r="F78" s="45" t="s">
        <v>7</v>
      </c>
      <c r="G78" s="45" t="s">
        <v>13</v>
      </c>
      <c r="H78" s="45" t="s">
        <v>16</v>
      </c>
      <c r="I78" s="45" t="s">
        <v>23</v>
      </c>
      <c r="J78" s="45" t="s">
        <v>24</v>
      </c>
      <c r="K78" s="45" t="s">
        <v>25</v>
      </c>
      <c r="L78" s="45" t="s">
        <v>26</v>
      </c>
      <c r="M78" s="45" t="s">
        <v>27</v>
      </c>
      <c r="N78" s="45" t="s">
        <v>28</v>
      </c>
      <c r="O78" s="45" t="s">
        <v>11</v>
      </c>
      <c r="P78" s="45" t="s">
        <v>199</v>
      </c>
    </row>
    <row r="79" spans="1:16" ht="15.75">
      <c r="A79" s="44" t="str">
        <f>B69</f>
        <v>treatment of electronics ,PEMFC EoL, PEMFC-bat, Medium-Term</v>
      </c>
      <c r="B79" s="44">
        <v>1</v>
      </c>
      <c r="C79" s="44"/>
      <c r="D79" s="44" t="s">
        <v>37</v>
      </c>
      <c r="E79" s="42" t="s">
        <v>2</v>
      </c>
      <c r="F79" s="42" t="s">
        <v>1465</v>
      </c>
      <c r="G79" s="44" t="s">
        <v>58</v>
      </c>
      <c r="H79" s="42" t="s">
        <v>30</v>
      </c>
      <c r="I79" s="42">
        <v>0</v>
      </c>
      <c r="J79" s="44" t="s">
        <v>31</v>
      </c>
      <c r="K79" s="44" t="s">
        <v>31</v>
      </c>
      <c r="L79" s="44" t="s">
        <v>31</v>
      </c>
      <c r="M79" s="44" t="s">
        <v>31</v>
      </c>
      <c r="N79" s="44" t="s">
        <v>31</v>
      </c>
      <c r="O79" s="44" t="s">
        <v>1478</v>
      </c>
      <c r="P79" s="42"/>
    </row>
    <row r="80" spans="1:16" ht="15.75">
      <c r="A80" s="47" t="s">
        <v>369</v>
      </c>
      <c r="B80">
        <v>-1</v>
      </c>
      <c r="D80" s="44" t="s">
        <v>37</v>
      </c>
      <c r="E80" s="42" t="s">
        <v>2</v>
      </c>
      <c r="F80" s="42" t="s">
        <v>1465</v>
      </c>
      <c r="G80" s="44" t="s">
        <v>128</v>
      </c>
      <c r="H80" s="42" t="s">
        <v>33</v>
      </c>
      <c r="I80" s="42">
        <v>0</v>
      </c>
      <c r="J80" s="44" t="s">
        <v>31</v>
      </c>
      <c r="K80" s="44" t="s">
        <v>31</v>
      </c>
      <c r="L80" s="44" t="s">
        <v>31</v>
      </c>
      <c r="M80" s="44" t="s">
        <v>31</v>
      </c>
      <c r="N80" s="44" t="s">
        <v>31</v>
      </c>
    </row>
    <row r="81" spans="1:16" s="41" customFormat="1" ht="15.75">
      <c r="A81" s="38" t="s">
        <v>5</v>
      </c>
      <c r="B81" s="38" t="s">
        <v>1482</v>
      </c>
      <c r="C81" s="38"/>
      <c r="D81" s="39"/>
      <c r="E81" s="40"/>
      <c r="F81" s="40"/>
      <c r="G81" s="40"/>
      <c r="H81" s="40"/>
      <c r="I81" s="40"/>
      <c r="J81" s="40"/>
      <c r="K81" s="40"/>
      <c r="L81" s="40"/>
      <c r="M81" s="40"/>
      <c r="N81" s="40"/>
      <c r="O81" s="40"/>
      <c r="P81" s="40"/>
    </row>
    <row r="82" spans="1:16">
      <c r="A82" s="42" t="s">
        <v>7</v>
      </c>
      <c r="B82" s="42" t="s">
        <v>1349</v>
      </c>
      <c r="C82" s="42"/>
      <c r="D82" s="42"/>
      <c r="E82" s="42"/>
      <c r="F82" s="42"/>
      <c r="G82" s="42"/>
      <c r="H82" s="42"/>
      <c r="I82" s="42"/>
      <c r="J82" s="42"/>
      <c r="K82" s="42"/>
      <c r="L82" s="42"/>
      <c r="M82" s="42"/>
      <c r="N82" s="42"/>
      <c r="O82" s="42"/>
      <c r="P82" s="42"/>
    </row>
    <row r="83" spans="1:16">
      <c r="A83" s="42" t="s">
        <v>9</v>
      </c>
      <c r="B83" s="43" t="s">
        <v>1483</v>
      </c>
      <c r="C83" s="42"/>
      <c r="D83" s="42"/>
      <c r="E83" s="42"/>
      <c r="F83" s="42"/>
      <c r="G83" s="42"/>
      <c r="H83" s="42"/>
      <c r="I83" s="42"/>
      <c r="J83" s="42"/>
      <c r="K83" s="42"/>
      <c r="L83" s="42"/>
      <c r="M83" s="42"/>
      <c r="N83" s="42"/>
      <c r="O83" s="42"/>
      <c r="P83" s="42"/>
    </row>
    <row r="84" spans="1:16">
      <c r="A84" s="42" t="s">
        <v>11</v>
      </c>
      <c r="B84" s="42" t="s">
        <v>1474</v>
      </c>
      <c r="C84" s="42"/>
      <c r="D84" s="42"/>
      <c r="E84" s="42"/>
      <c r="F84" s="42"/>
      <c r="G84" s="42"/>
      <c r="H84" s="42"/>
      <c r="I84" s="42"/>
      <c r="J84" s="42"/>
      <c r="K84" s="42"/>
      <c r="L84" s="42"/>
      <c r="M84" s="42"/>
      <c r="N84" s="42"/>
      <c r="O84" s="42"/>
      <c r="P84" s="42"/>
    </row>
    <row r="85" spans="1:16">
      <c r="A85" s="42" t="s">
        <v>13</v>
      </c>
      <c r="B85" s="42" t="s">
        <v>58</v>
      </c>
      <c r="C85" s="42"/>
      <c r="D85" s="42"/>
      <c r="E85" s="42"/>
      <c r="F85" s="42"/>
      <c r="G85" s="42"/>
      <c r="H85" s="42"/>
      <c r="I85" s="42"/>
      <c r="J85" s="42"/>
      <c r="K85" s="42"/>
      <c r="L85" s="42"/>
      <c r="M85" s="42"/>
      <c r="N85" s="42"/>
      <c r="O85" s="42"/>
      <c r="P85" s="42"/>
    </row>
    <row r="86" spans="1:16">
      <c r="A86" s="42" t="s">
        <v>15</v>
      </c>
      <c r="B86" s="42">
        <v>1</v>
      </c>
      <c r="C86" s="42"/>
      <c r="D86" s="42"/>
      <c r="E86" s="42"/>
      <c r="F86" s="42"/>
      <c r="G86" s="42"/>
      <c r="H86" s="42"/>
      <c r="I86" s="42"/>
      <c r="J86" s="42"/>
      <c r="K86" s="42"/>
      <c r="L86" s="42"/>
      <c r="M86" s="42"/>
      <c r="N86" s="42"/>
      <c r="O86" s="42"/>
      <c r="P86" s="42"/>
    </row>
    <row r="87" spans="1:16">
      <c r="A87" s="42" t="s">
        <v>16</v>
      </c>
      <c r="B87" s="42" t="s">
        <v>17</v>
      </c>
      <c r="C87" s="42"/>
      <c r="D87" s="42"/>
      <c r="E87" s="42"/>
      <c r="F87" s="42"/>
      <c r="G87" s="42"/>
      <c r="H87" s="42"/>
      <c r="I87" s="42"/>
      <c r="J87" s="42"/>
      <c r="K87" s="42"/>
      <c r="L87" s="42"/>
      <c r="M87" s="42"/>
      <c r="N87" s="42"/>
      <c r="O87" s="42"/>
      <c r="P87" s="42"/>
    </row>
    <row r="88" spans="1:16" ht="15.75">
      <c r="A88" s="42" t="s">
        <v>18</v>
      </c>
      <c r="B88" s="44" t="s">
        <v>18</v>
      </c>
      <c r="C88" s="42"/>
      <c r="D88" s="42"/>
      <c r="E88" s="42" t="s">
        <v>197</v>
      </c>
      <c r="F88" s="42"/>
      <c r="G88" s="42"/>
      <c r="H88" s="42"/>
      <c r="I88" s="42"/>
      <c r="J88" s="42"/>
      <c r="K88" s="42"/>
      <c r="L88" s="42"/>
      <c r="M88" s="42"/>
      <c r="N88" s="42"/>
      <c r="O88" s="42"/>
      <c r="P88" s="42"/>
    </row>
    <row r="89" spans="1:16" ht="15.75">
      <c r="A89" s="45" t="s">
        <v>19</v>
      </c>
      <c r="B89" s="42"/>
      <c r="C89" s="42"/>
      <c r="D89" s="42"/>
      <c r="E89" s="42"/>
      <c r="F89" s="42"/>
      <c r="G89" s="42"/>
      <c r="H89" s="42"/>
      <c r="I89" s="42"/>
      <c r="J89" s="42"/>
      <c r="K89" s="42"/>
      <c r="L89" s="42"/>
      <c r="M89" s="42"/>
      <c r="N89" s="42"/>
      <c r="O89" s="42"/>
      <c r="P89" s="42"/>
    </row>
    <row r="90" spans="1:16" ht="15.75">
      <c r="A90" s="45" t="s">
        <v>20</v>
      </c>
      <c r="B90" s="45" t="s">
        <v>21</v>
      </c>
      <c r="C90" s="45" t="s">
        <v>198</v>
      </c>
      <c r="D90" s="45" t="s">
        <v>18</v>
      </c>
      <c r="E90" s="45" t="s">
        <v>22</v>
      </c>
      <c r="F90" s="45" t="s">
        <v>7</v>
      </c>
      <c r="G90" s="45" t="s">
        <v>13</v>
      </c>
      <c r="H90" s="45" t="s">
        <v>16</v>
      </c>
      <c r="I90" s="45" t="s">
        <v>23</v>
      </c>
      <c r="J90" s="45" t="s">
        <v>24</v>
      </c>
      <c r="K90" s="45" t="s">
        <v>25</v>
      </c>
      <c r="L90" s="45" t="s">
        <v>26</v>
      </c>
      <c r="M90" s="45" t="s">
        <v>27</v>
      </c>
      <c r="N90" s="45" t="s">
        <v>28</v>
      </c>
      <c r="O90" s="45" t="s">
        <v>11</v>
      </c>
      <c r="P90" s="45" t="s">
        <v>199</v>
      </c>
    </row>
    <row r="91" spans="1:16" ht="15.75">
      <c r="A91" s="44" t="str">
        <f>B81</f>
        <v>treatment of PEMFC cell ,PEMFC EoL, PEMFC-bat, Medium-Term</v>
      </c>
      <c r="B91" s="44">
        <v>1</v>
      </c>
      <c r="C91" s="44"/>
      <c r="D91" s="44" t="s">
        <v>18</v>
      </c>
      <c r="E91" s="42" t="s">
        <v>2</v>
      </c>
      <c r="F91" s="42" t="s">
        <v>1465</v>
      </c>
      <c r="G91" s="44" t="s">
        <v>58</v>
      </c>
      <c r="H91" s="42" t="s">
        <v>30</v>
      </c>
      <c r="I91" s="42">
        <v>0</v>
      </c>
      <c r="J91" s="44" t="s">
        <v>31</v>
      </c>
      <c r="K91" s="44" t="s">
        <v>31</v>
      </c>
      <c r="L91" s="44" t="s">
        <v>31</v>
      </c>
      <c r="M91" s="44" t="s">
        <v>31</v>
      </c>
      <c r="N91" s="44" t="s">
        <v>31</v>
      </c>
      <c r="O91" s="44"/>
      <c r="P91" s="42"/>
    </row>
    <row r="92" spans="1:16" ht="15.75">
      <c r="A92" t="str">
        <f>A12</f>
        <v>treatment of aluminium,PEMFC EoL, PEMFC-bat, Medium-Term</v>
      </c>
      <c r="B92">
        <v>54.799603174603178</v>
      </c>
      <c r="D92" s="44" t="s">
        <v>37</v>
      </c>
      <c r="E92" s="42" t="s">
        <v>2</v>
      </c>
      <c r="F92" s="42" t="s">
        <v>1465</v>
      </c>
      <c r="G92" s="44" t="s">
        <v>58</v>
      </c>
      <c r="H92" t="s">
        <v>33</v>
      </c>
      <c r="I92" s="42">
        <v>0</v>
      </c>
      <c r="J92" s="44" t="s">
        <v>31</v>
      </c>
      <c r="K92" s="44" t="s">
        <v>31</v>
      </c>
      <c r="L92" s="44" t="s">
        <v>31</v>
      </c>
      <c r="M92" s="44" t="s">
        <v>31</v>
      </c>
      <c r="N92" s="44" t="s">
        <v>31</v>
      </c>
      <c r="O92" t="s">
        <v>1484</v>
      </c>
    </row>
    <row r="93" spans="1:16" ht="15.75">
      <c r="A93" t="str">
        <f>A79</f>
        <v>treatment of electronics ,PEMFC EoL, PEMFC-bat, Medium-Term</v>
      </c>
      <c r="B93">
        <v>10.105263157894736</v>
      </c>
      <c r="D93" s="44" t="s">
        <v>37</v>
      </c>
      <c r="E93" s="42" t="s">
        <v>2</v>
      </c>
      <c r="F93" s="42" t="s">
        <v>1465</v>
      </c>
      <c r="G93" s="44" t="s">
        <v>58</v>
      </c>
      <c r="H93" t="s">
        <v>33</v>
      </c>
      <c r="I93" s="42">
        <v>0</v>
      </c>
      <c r="J93" s="44" t="s">
        <v>31</v>
      </c>
      <c r="K93" s="44" t="s">
        <v>31</v>
      </c>
      <c r="L93" s="44" t="s">
        <v>31</v>
      </c>
      <c r="M93" s="44" t="s">
        <v>31</v>
      </c>
      <c r="N93" s="44" t="s">
        <v>31</v>
      </c>
      <c r="O93" t="s">
        <v>1485</v>
      </c>
    </row>
    <row r="94" spans="1:16" ht="15.75">
      <c r="A94" t="str">
        <f>A67</f>
        <v>treatment of graphite and resin,PEMFC EoL, PEMFC-bat, Medium-Term</v>
      </c>
      <c r="B94">
        <v>16.842105263157894</v>
      </c>
      <c r="D94" s="44" t="s">
        <v>37</v>
      </c>
      <c r="E94" s="42" t="s">
        <v>2</v>
      </c>
      <c r="F94" s="42" t="s">
        <v>1465</v>
      </c>
      <c r="G94" s="44" t="s">
        <v>58</v>
      </c>
      <c r="H94" t="s">
        <v>33</v>
      </c>
      <c r="I94" s="42">
        <v>0</v>
      </c>
      <c r="J94" s="44" t="s">
        <v>31</v>
      </c>
      <c r="K94" s="44" t="s">
        <v>31</v>
      </c>
      <c r="L94" s="44" t="s">
        <v>31</v>
      </c>
      <c r="M94" s="44" t="s">
        <v>31</v>
      </c>
      <c r="N94" s="44" t="s">
        <v>31</v>
      </c>
      <c r="O94" t="s">
        <v>1486</v>
      </c>
    </row>
    <row r="95" spans="1:16" ht="15.75">
      <c r="A95" t="str">
        <f>A27</f>
        <v>treatment of copper,PEMFC EoL, PEMFC-bat, Medium-Term</v>
      </c>
      <c r="B95">
        <v>14.059768468791027</v>
      </c>
      <c r="D95" s="44" t="s">
        <v>37</v>
      </c>
      <c r="E95" s="42" t="s">
        <v>2</v>
      </c>
      <c r="F95" s="42" t="s">
        <v>1465</v>
      </c>
      <c r="G95" s="44" t="s">
        <v>58</v>
      </c>
      <c r="H95" t="s">
        <v>33</v>
      </c>
      <c r="I95" s="42">
        <v>0</v>
      </c>
      <c r="J95" s="44" t="s">
        <v>31</v>
      </c>
      <c r="K95" s="44" t="s">
        <v>31</v>
      </c>
      <c r="L95" s="44" t="s">
        <v>31</v>
      </c>
      <c r="M95" s="44" t="s">
        <v>31</v>
      </c>
      <c r="N95" s="44" t="s">
        <v>31</v>
      </c>
      <c r="O95" t="s">
        <v>1487</v>
      </c>
    </row>
    <row r="96" spans="1:16" ht="15.75">
      <c r="A96" t="str">
        <f>A79</f>
        <v>treatment of electronics ,PEMFC EoL, PEMFC-bat, Medium-Term</v>
      </c>
      <c r="B96">
        <v>49.778978057388372</v>
      </c>
      <c r="D96" s="44" t="s">
        <v>37</v>
      </c>
      <c r="E96" s="42" t="s">
        <v>2</v>
      </c>
      <c r="F96" s="42" t="s">
        <v>1465</v>
      </c>
      <c r="G96" s="44" t="s">
        <v>58</v>
      </c>
      <c r="H96" t="s">
        <v>33</v>
      </c>
      <c r="I96" s="42">
        <v>0</v>
      </c>
      <c r="J96" s="44" t="s">
        <v>31</v>
      </c>
      <c r="K96" s="44" t="s">
        <v>31</v>
      </c>
      <c r="L96" s="44" t="s">
        <v>31</v>
      </c>
      <c r="M96" s="44" t="s">
        <v>31</v>
      </c>
      <c r="N96" s="44" t="s">
        <v>31</v>
      </c>
      <c r="O96" t="s">
        <v>1488</v>
      </c>
    </row>
    <row r="97" spans="1:15" ht="15.75">
      <c r="A97" t="str">
        <f>A67</f>
        <v>treatment of graphite and resin,PEMFC EoL, PEMFC-bat, Medium-Term</v>
      </c>
      <c r="B97">
        <v>24.832129156314547</v>
      </c>
      <c r="D97" s="44" t="s">
        <v>37</v>
      </c>
      <c r="E97" s="42" t="s">
        <v>2</v>
      </c>
      <c r="F97" s="42" t="s">
        <v>1465</v>
      </c>
      <c r="G97" s="44" t="s">
        <v>58</v>
      </c>
      <c r="H97" t="s">
        <v>33</v>
      </c>
      <c r="I97" s="42">
        <v>0</v>
      </c>
      <c r="J97" s="44" t="s">
        <v>31</v>
      </c>
      <c r="K97" s="44" t="s">
        <v>31</v>
      </c>
      <c r="L97" s="44" t="s">
        <v>31</v>
      </c>
      <c r="M97" s="44" t="s">
        <v>31</v>
      </c>
      <c r="N97" s="44" t="s">
        <v>31</v>
      </c>
      <c r="O97" t="s">
        <v>1489</v>
      </c>
    </row>
    <row r="98" spans="1:15" ht="15.75">
      <c r="A98" t="str">
        <f>A55</f>
        <v>treatment of composites,PEMFC EoL, PEMFC-bat, Medium-Term</v>
      </c>
      <c r="B98">
        <v>46.633742364569443</v>
      </c>
      <c r="D98" s="44" t="s">
        <v>37</v>
      </c>
      <c r="E98" s="42" t="s">
        <v>2</v>
      </c>
      <c r="F98" s="42" t="s">
        <v>1465</v>
      </c>
      <c r="G98" s="44" t="s">
        <v>58</v>
      </c>
      <c r="H98" t="s">
        <v>33</v>
      </c>
      <c r="I98" s="42">
        <v>0</v>
      </c>
      <c r="J98" s="44" t="s">
        <v>31</v>
      </c>
      <c r="K98" s="44" t="s">
        <v>31</v>
      </c>
      <c r="L98" s="44" t="s">
        <v>31</v>
      </c>
      <c r="M98" s="44" t="s">
        <v>31</v>
      </c>
      <c r="N98" s="44" t="s">
        <v>31</v>
      </c>
      <c r="O98" t="s">
        <v>1490</v>
      </c>
    </row>
    <row r="99" spans="1:15" ht="15.75">
      <c r="A99" t="str">
        <f>A55</f>
        <v>treatment of composites,PEMFC EoL, PEMFC-bat, Medium-Term</v>
      </c>
      <c r="B99">
        <v>22.919153553988064</v>
      </c>
      <c r="D99" s="44" t="s">
        <v>37</v>
      </c>
      <c r="E99" s="42" t="s">
        <v>2</v>
      </c>
      <c r="F99" s="42" t="s">
        <v>1465</v>
      </c>
      <c r="G99" s="44" t="s">
        <v>58</v>
      </c>
      <c r="H99" t="s">
        <v>33</v>
      </c>
      <c r="I99" s="42">
        <v>0</v>
      </c>
      <c r="J99" s="44" t="s">
        <v>31</v>
      </c>
      <c r="K99" s="44" t="s">
        <v>31</v>
      </c>
      <c r="L99" s="44" t="s">
        <v>31</v>
      </c>
      <c r="M99" s="44" t="s">
        <v>31</v>
      </c>
      <c r="N99" s="44" t="s">
        <v>31</v>
      </c>
      <c r="O99" t="s">
        <v>1491</v>
      </c>
    </row>
    <row r="100" spans="1:15" ht="15.75">
      <c r="A100" t="str">
        <f>A55</f>
        <v>treatment of composites,PEMFC EoL, PEMFC-bat, Medium-Term</v>
      </c>
      <c r="B100">
        <v>49.64031507339778</v>
      </c>
      <c r="D100" s="44" t="s">
        <v>37</v>
      </c>
      <c r="E100" s="42" t="s">
        <v>2</v>
      </c>
      <c r="F100" s="42" t="s">
        <v>1465</v>
      </c>
      <c r="G100" s="44" t="s">
        <v>58</v>
      </c>
      <c r="H100" t="s">
        <v>33</v>
      </c>
      <c r="I100" s="42">
        <v>0</v>
      </c>
      <c r="J100" s="44" t="s">
        <v>31</v>
      </c>
      <c r="K100" s="44" t="s">
        <v>31</v>
      </c>
      <c r="L100" s="44" t="s">
        <v>31</v>
      </c>
      <c r="M100" s="44" t="s">
        <v>31</v>
      </c>
      <c r="N100" s="44" t="s">
        <v>31</v>
      </c>
      <c r="O100" t="s">
        <v>1492</v>
      </c>
    </row>
    <row r="101" spans="1:15" ht="15.75">
      <c r="A101" t="str">
        <f>A55</f>
        <v>treatment of composites,PEMFC EoL, PEMFC-bat, Medium-Term</v>
      </c>
      <c r="B101">
        <v>4.2964554242749733</v>
      </c>
      <c r="D101" s="44" t="s">
        <v>37</v>
      </c>
      <c r="E101" s="42" t="s">
        <v>2</v>
      </c>
      <c r="F101" s="42" t="s">
        <v>1465</v>
      </c>
      <c r="G101" s="44" t="s">
        <v>58</v>
      </c>
      <c r="H101" t="s">
        <v>33</v>
      </c>
      <c r="I101" s="42">
        <v>0</v>
      </c>
      <c r="J101" s="44" t="s">
        <v>31</v>
      </c>
      <c r="K101" s="44" t="s">
        <v>31</v>
      </c>
      <c r="L101" s="44" t="s">
        <v>31</v>
      </c>
      <c r="M101" s="44" t="s">
        <v>31</v>
      </c>
      <c r="N101" s="44" t="s">
        <v>31</v>
      </c>
      <c r="O101" t="s">
        <v>1493</v>
      </c>
    </row>
    <row r="102" spans="1:15" ht="15.75">
      <c r="A102" t="str">
        <f>A55</f>
        <v>treatment of composites,PEMFC EoL, PEMFC-bat, Medium-Term</v>
      </c>
      <c r="B102">
        <v>11.504849179075984</v>
      </c>
      <c r="D102" s="44" t="s">
        <v>37</v>
      </c>
      <c r="E102" s="42" t="s">
        <v>2</v>
      </c>
      <c r="F102" s="42" t="s">
        <v>1465</v>
      </c>
      <c r="G102" s="44" t="s">
        <v>58</v>
      </c>
      <c r="H102" t="s">
        <v>33</v>
      </c>
      <c r="I102" s="42">
        <v>0</v>
      </c>
      <c r="J102" s="44" t="s">
        <v>31</v>
      </c>
      <c r="K102" s="44" t="s">
        <v>31</v>
      </c>
      <c r="L102" s="44" t="s">
        <v>31</v>
      </c>
      <c r="M102" s="44" t="s">
        <v>31</v>
      </c>
      <c r="N102" s="44" t="s">
        <v>31</v>
      </c>
      <c r="O102" t="s">
        <v>1494</v>
      </c>
    </row>
    <row r="103" spans="1:15" ht="15.75">
      <c r="A103" t="str">
        <f>A41</f>
        <v>treatment of steel,PEMFC EoL, PEMFC-bat, Medium-Term</v>
      </c>
      <c r="B103">
        <v>372.44818637920577</v>
      </c>
      <c r="D103" s="44" t="s">
        <v>37</v>
      </c>
      <c r="E103" s="42" t="s">
        <v>2</v>
      </c>
      <c r="F103" s="42" t="s">
        <v>1465</v>
      </c>
      <c r="G103" s="44" t="s">
        <v>58</v>
      </c>
      <c r="H103" t="s">
        <v>33</v>
      </c>
      <c r="I103" s="42">
        <v>0</v>
      </c>
      <c r="J103" s="44" t="s">
        <v>31</v>
      </c>
      <c r="K103" s="44" t="s">
        <v>31</v>
      </c>
      <c r="L103" s="44" t="s">
        <v>31</v>
      </c>
      <c r="M103" s="44" t="s">
        <v>31</v>
      </c>
      <c r="N103" s="44" t="s">
        <v>31</v>
      </c>
      <c r="O103" t="s">
        <v>1436</v>
      </c>
    </row>
    <row r="104" spans="1:15" ht="15.75">
      <c r="A104" t="str">
        <f>A55</f>
        <v>treatment of composites,PEMFC EoL, PEMFC-bat, Medium-Term</v>
      </c>
      <c r="B104">
        <v>17.728531855955676</v>
      </c>
      <c r="D104" s="44" t="s">
        <v>37</v>
      </c>
      <c r="E104" s="42" t="s">
        <v>2</v>
      </c>
      <c r="F104" s="42" t="s">
        <v>1465</v>
      </c>
      <c r="G104" s="44" t="s">
        <v>58</v>
      </c>
      <c r="H104" t="s">
        <v>33</v>
      </c>
      <c r="I104" s="42">
        <v>0</v>
      </c>
      <c r="J104" s="44" t="s">
        <v>31</v>
      </c>
      <c r="K104" s="44" t="s">
        <v>31</v>
      </c>
      <c r="L104" s="44" t="s">
        <v>31</v>
      </c>
      <c r="M104" s="44" t="s">
        <v>31</v>
      </c>
      <c r="N104" s="44" t="s">
        <v>31</v>
      </c>
      <c r="O104" t="s">
        <v>1495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2562-B799-4323-B086-A8EF7681AD35}">
  <dimension ref="A1:Q54"/>
  <sheetViews>
    <sheetView workbookViewId="0">
      <selection activeCell="B3" sqref="B3"/>
    </sheetView>
  </sheetViews>
  <sheetFormatPr defaultColWidth="8.85546875" defaultRowHeight="15"/>
  <cols>
    <col min="1" max="1" width="33" style="24" customWidth="1"/>
    <col min="2" max="2" width="20.28515625" style="24" customWidth="1"/>
    <col min="3" max="3" width="10.7109375" style="24" customWidth="1"/>
    <col min="4" max="4" width="33.85546875" style="24" customWidth="1"/>
    <col min="5" max="7" width="12.5703125" style="24" customWidth="1"/>
    <col min="8" max="8" width="17.7109375" style="24" customWidth="1"/>
    <col min="9" max="9" width="13" style="24" customWidth="1"/>
    <col min="10" max="14" width="12" style="24" customWidth="1"/>
    <col min="15" max="15" width="17.7109375" style="24" customWidth="1"/>
    <col min="16" max="16" width="10.42578125" style="24" customWidth="1"/>
    <col min="17" max="16384" width="8.85546875" style="24"/>
  </cols>
  <sheetData>
    <row r="1" spans="1:17">
      <c r="A1" s="24" t="s">
        <v>0</v>
      </c>
      <c r="B1" s="24">
        <v>13</v>
      </c>
      <c r="C1" s="25"/>
    </row>
    <row r="2" spans="1:17" ht="15.75">
      <c r="A2" s="29" t="s">
        <v>5</v>
      </c>
      <c r="B2" s="29" t="s">
        <v>85</v>
      </c>
      <c r="C2" s="30"/>
      <c r="D2" s="31"/>
      <c r="E2" s="31"/>
      <c r="F2" s="31"/>
      <c r="G2" s="31"/>
      <c r="H2" s="31"/>
      <c r="I2" s="31"/>
      <c r="J2" s="31"/>
      <c r="K2" s="31"/>
      <c r="L2" s="31"/>
      <c r="M2" s="31"/>
      <c r="N2" s="31"/>
    </row>
    <row r="3" spans="1:17">
      <c r="A3" s="26" t="s">
        <v>7</v>
      </c>
      <c r="B3" s="26" t="s">
        <v>59</v>
      </c>
      <c r="C3" s="26"/>
      <c r="D3" s="26"/>
      <c r="E3" s="26"/>
      <c r="F3" s="26"/>
      <c r="G3" s="26"/>
      <c r="H3" s="26"/>
      <c r="I3" s="26"/>
      <c r="J3" s="26"/>
      <c r="K3" s="26"/>
      <c r="L3" s="26"/>
      <c r="M3" s="26"/>
      <c r="N3" s="26"/>
    </row>
    <row r="4" spans="1:17">
      <c r="A4" s="26" t="s">
        <v>9</v>
      </c>
      <c r="B4" s="26" t="s">
        <v>179</v>
      </c>
      <c r="C4" s="26"/>
      <c r="D4" s="26"/>
      <c r="E4" s="26"/>
      <c r="F4" s="26"/>
      <c r="G4" s="26"/>
      <c r="H4" s="26"/>
      <c r="I4" s="26"/>
      <c r="J4" s="26"/>
      <c r="K4" s="26"/>
      <c r="L4" s="26"/>
      <c r="M4" s="26"/>
      <c r="N4" s="26"/>
      <c r="O4" s="69" t="s">
        <v>62</v>
      </c>
      <c r="P4" s="70" t="s">
        <v>63</v>
      </c>
      <c r="Q4" s="71" t="s">
        <v>64</v>
      </c>
    </row>
    <row r="5" spans="1:17">
      <c r="A5" s="26" t="s">
        <v>11</v>
      </c>
      <c r="B5" s="26" t="s">
        <v>180</v>
      </c>
      <c r="C5" s="26"/>
      <c r="D5" s="26"/>
      <c r="E5" s="26"/>
      <c r="F5" s="26"/>
      <c r="G5" s="26"/>
      <c r="H5" s="26"/>
      <c r="I5" s="26"/>
      <c r="J5" s="26"/>
      <c r="K5" s="26"/>
      <c r="L5" s="26"/>
      <c r="M5" s="26"/>
      <c r="N5" s="26"/>
      <c r="O5" s="72" t="s">
        <v>97</v>
      </c>
      <c r="P5" s="73">
        <v>100</v>
      </c>
      <c r="Q5" s="74">
        <f>P5/P5</f>
        <v>1</v>
      </c>
    </row>
    <row r="6" spans="1:17">
      <c r="A6" s="26" t="s">
        <v>13</v>
      </c>
      <c r="B6" s="26" t="s">
        <v>35</v>
      </c>
      <c r="C6" s="26"/>
      <c r="D6" s="26"/>
      <c r="E6" s="26"/>
      <c r="F6" s="26"/>
      <c r="G6" s="26"/>
      <c r="H6" s="26"/>
      <c r="I6" s="26"/>
      <c r="J6" s="26"/>
      <c r="K6" s="26"/>
      <c r="L6" s="26"/>
      <c r="M6" s="26"/>
      <c r="N6" s="26"/>
      <c r="O6" s="72" t="s">
        <v>141</v>
      </c>
      <c r="P6" s="73">
        <v>33.33</v>
      </c>
      <c r="Q6" s="74">
        <f>P5/P6</f>
        <v>3.0003000300030003</v>
      </c>
    </row>
    <row r="7" spans="1:17">
      <c r="A7" s="26" t="s">
        <v>15</v>
      </c>
      <c r="B7" s="32">
        <v>1</v>
      </c>
      <c r="C7" s="26"/>
      <c r="D7" s="26"/>
      <c r="E7" s="26"/>
      <c r="F7" s="26"/>
      <c r="G7" s="26"/>
      <c r="H7" s="26"/>
      <c r="I7" s="26"/>
      <c r="J7" s="26"/>
      <c r="K7" s="26"/>
      <c r="L7" s="26"/>
      <c r="M7" s="26"/>
      <c r="N7" s="26"/>
      <c r="O7" s="72" t="s">
        <v>143</v>
      </c>
      <c r="P7" s="73">
        <v>33.33</v>
      </c>
      <c r="Q7" s="74">
        <f>P5/P7</f>
        <v>3.0003000300030003</v>
      </c>
    </row>
    <row r="8" spans="1:17">
      <c r="A8" s="26" t="s">
        <v>16</v>
      </c>
      <c r="B8" s="26" t="s">
        <v>17</v>
      </c>
      <c r="C8" s="26"/>
      <c r="D8" s="26"/>
      <c r="E8" s="26"/>
      <c r="F8" s="26"/>
      <c r="G8" s="26"/>
      <c r="H8" s="26"/>
      <c r="I8" s="26"/>
      <c r="J8" s="26"/>
      <c r="K8" s="26"/>
      <c r="L8" s="26"/>
      <c r="M8" s="26"/>
      <c r="N8" s="26"/>
      <c r="O8" s="75" t="s">
        <v>145</v>
      </c>
      <c r="P8" s="76">
        <v>33.33</v>
      </c>
      <c r="Q8" s="77">
        <f>P5/P8</f>
        <v>3.0003000300030003</v>
      </c>
    </row>
    <row r="9" spans="1:17">
      <c r="A9" s="26" t="s">
        <v>18</v>
      </c>
      <c r="B9" s="26" t="s">
        <v>18</v>
      </c>
      <c r="C9" s="26"/>
      <c r="D9" s="26"/>
      <c r="E9" s="26"/>
      <c r="F9" s="26"/>
      <c r="G9" s="26"/>
      <c r="H9" s="26"/>
      <c r="I9" s="26"/>
      <c r="J9" s="26"/>
      <c r="K9" s="26"/>
      <c r="L9" s="26"/>
      <c r="M9" s="26"/>
      <c r="N9" s="26"/>
      <c r="O9" s="32"/>
      <c r="P9" s="26"/>
    </row>
    <row r="10" spans="1:17" ht="15.75">
      <c r="A10" s="27" t="s">
        <v>19</v>
      </c>
      <c r="O10" s="26"/>
      <c r="P10" s="26"/>
    </row>
    <row r="11" spans="1:17" ht="15.75">
      <c r="A11" s="27" t="s">
        <v>20</v>
      </c>
      <c r="B11" s="27" t="s">
        <v>21</v>
      </c>
      <c r="C11" s="27" t="s">
        <v>18</v>
      </c>
      <c r="D11" s="27" t="s">
        <v>22</v>
      </c>
      <c r="E11" s="27" t="s">
        <v>7</v>
      </c>
      <c r="F11" s="27" t="s">
        <v>13</v>
      </c>
      <c r="G11" s="27" t="s">
        <v>16</v>
      </c>
      <c r="H11" s="27" t="s">
        <v>23</v>
      </c>
      <c r="I11" s="27" t="s">
        <v>24</v>
      </c>
      <c r="J11" s="27" t="s">
        <v>25</v>
      </c>
      <c r="K11" s="27" t="s">
        <v>26</v>
      </c>
      <c r="L11" s="27" t="s">
        <v>27</v>
      </c>
      <c r="M11" s="27" t="s">
        <v>28</v>
      </c>
      <c r="N11" s="27" t="s">
        <v>68</v>
      </c>
    </row>
    <row r="12" spans="1:17">
      <c r="A12" s="26" t="s">
        <v>85</v>
      </c>
      <c r="B12" s="26">
        <f>B7</f>
        <v>1</v>
      </c>
      <c r="C12" s="26" t="str">
        <f>B9</f>
        <v>unit</v>
      </c>
      <c r="D12" s="26" t="s">
        <v>2</v>
      </c>
      <c r="E12" s="26" t="s">
        <v>29</v>
      </c>
      <c r="F12" s="26" t="str">
        <f>B6</f>
        <v>RER</v>
      </c>
      <c r="G12" s="26" t="s">
        <v>30</v>
      </c>
      <c r="H12" s="26">
        <v>0</v>
      </c>
      <c r="I12" s="26">
        <f>B12</f>
        <v>1</v>
      </c>
      <c r="J12" s="26"/>
      <c r="K12" s="26"/>
      <c r="L12" s="26"/>
      <c r="M12" s="26"/>
      <c r="N12" s="26"/>
      <c r="O12" s="26"/>
      <c r="P12" s="26"/>
    </row>
    <row r="13" spans="1:17">
      <c r="A13" s="26" t="s">
        <v>181</v>
      </c>
      <c r="B13" s="78">
        <f>1*Q6</f>
        <v>3.0003000300030003</v>
      </c>
      <c r="C13" s="26" t="s">
        <v>18</v>
      </c>
      <c r="D13" s="26" t="s">
        <v>2</v>
      </c>
      <c r="E13" s="26" t="s">
        <v>29</v>
      </c>
      <c r="F13" s="26" t="s">
        <v>35</v>
      </c>
      <c r="G13" s="26" t="s">
        <v>33</v>
      </c>
      <c r="H13" s="26">
        <v>0</v>
      </c>
      <c r="I13" s="26">
        <f>B13</f>
        <v>3.0003000300030003</v>
      </c>
      <c r="J13" s="26" t="s">
        <v>31</v>
      </c>
      <c r="K13" s="26" t="s">
        <v>31</v>
      </c>
      <c r="L13" s="26" t="s">
        <v>31</v>
      </c>
      <c r="M13" s="26" t="s">
        <v>31</v>
      </c>
      <c r="N13" s="26"/>
      <c r="O13" s="26"/>
      <c r="P13" s="26"/>
    </row>
    <row r="14" spans="1:17">
      <c r="A14" s="26" t="s">
        <v>182</v>
      </c>
      <c r="B14" s="78">
        <f t="shared" ref="B14:B15" si="0">1*Q7</f>
        <v>3.0003000300030003</v>
      </c>
      <c r="C14" s="26" t="s">
        <v>18</v>
      </c>
      <c r="D14" s="26" t="s">
        <v>2</v>
      </c>
      <c r="E14" s="26" t="s">
        <v>29</v>
      </c>
      <c r="F14" s="26" t="s">
        <v>35</v>
      </c>
      <c r="G14" s="26" t="s">
        <v>33</v>
      </c>
      <c r="H14" s="26">
        <v>0</v>
      </c>
      <c r="I14" s="26">
        <f t="shared" ref="I14:I15" si="1">B14</f>
        <v>3.0003000300030003</v>
      </c>
      <c r="J14" s="26" t="s">
        <v>31</v>
      </c>
      <c r="K14" s="26" t="s">
        <v>31</v>
      </c>
      <c r="L14" s="26" t="s">
        <v>31</v>
      </c>
      <c r="M14" s="26" t="s">
        <v>31</v>
      </c>
      <c r="N14" s="26"/>
      <c r="O14" s="26"/>
      <c r="P14" s="26"/>
    </row>
    <row r="15" spans="1:17">
      <c r="A15" s="26" t="s">
        <v>183</v>
      </c>
      <c r="B15" s="78">
        <f t="shared" si="0"/>
        <v>3.0003000300030003</v>
      </c>
      <c r="C15" s="26" t="s">
        <v>18</v>
      </c>
      <c r="D15" s="26" t="s">
        <v>2</v>
      </c>
      <c r="E15" s="26" t="s">
        <v>29</v>
      </c>
      <c r="F15" s="26" t="s">
        <v>35</v>
      </c>
      <c r="G15" s="26" t="s">
        <v>33</v>
      </c>
      <c r="H15" s="26">
        <v>0</v>
      </c>
      <c r="I15" s="26">
        <f t="shared" si="1"/>
        <v>3.0003000300030003</v>
      </c>
      <c r="J15" s="26" t="s">
        <v>31</v>
      </c>
      <c r="K15" s="26" t="s">
        <v>31</v>
      </c>
      <c r="L15" s="26" t="s">
        <v>31</v>
      </c>
      <c r="M15" s="26" t="s">
        <v>31</v>
      </c>
      <c r="N15" s="26"/>
      <c r="O15" s="26"/>
      <c r="P15" s="26"/>
    </row>
    <row r="16" spans="1:17" ht="15.75">
      <c r="A16" s="29" t="s">
        <v>5</v>
      </c>
      <c r="B16" s="29" t="s">
        <v>181</v>
      </c>
      <c r="C16" s="30"/>
      <c r="D16" s="31"/>
      <c r="E16" s="31"/>
      <c r="F16" s="31"/>
      <c r="G16" s="31"/>
      <c r="H16" s="31"/>
      <c r="I16" s="31"/>
      <c r="J16" s="31"/>
      <c r="K16" s="31"/>
      <c r="L16" s="31"/>
      <c r="M16" s="31"/>
      <c r="N16" s="31"/>
      <c r="O16" s="26"/>
      <c r="P16" s="26"/>
    </row>
    <row r="17" spans="1:16">
      <c r="A17" s="26" t="s">
        <v>7</v>
      </c>
      <c r="B17" s="26" t="s">
        <v>59</v>
      </c>
      <c r="C17" s="26"/>
      <c r="D17" s="26"/>
      <c r="E17" s="26"/>
      <c r="F17" s="26"/>
      <c r="G17" s="26"/>
      <c r="H17" s="26"/>
      <c r="I17" s="26"/>
      <c r="J17" s="26"/>
      <c r="K17" s="26"/>
      <c r="L17" s="26"/>
      <c r="M17" s="26"/>
      <c r="N17" s="26"/>
      <c r="O17" s="84" t="s">
        <v>184</v>
      </c>
      <c r="P17" s="26"/>
    </row>
    <row r="18" spans="1:16">
      <c r="A18" s="26" t="s">
        <v>9</v>
      </c>
      <c r="B18" s="26" t="s">
        <v>185</v>
      </c>
      <c r="C18" s="26"/>
      <c r="D18" s="26"/>
      <c r="E18" s="26"/>
      <c r="F18" s="26"/>
      <c r="G18" s="26"/>
      <c r="H18" s="26"/>
      <c r="I18" s="26"/>
      <c r="J18" s="26"/>
      <c r="K18" s="26"/>
      <c r="L18" s="26"/>
      <c r="M18" s="26"/>
      <c r="N18" s="26"/>
      <c r="O18" s="85">
        <v>98000</v>
      </c>
      <c r="P18" s="26"/>
    </row>
    <row r="19" spans="1:16">
      <c r="A19" s="26" t="s">
        <v>11</v>
      </c>
      <c r="B19" s="26" t="s">
        <v>186</v>
      </c>
      <c r="C19" s="26"/>
      <c r="D19" s="26"/>
      <c r="E19" s="26"/>
      <c r="F19" s="26"/>
      <c r="G19" s="26"/>
      <c r="H19" s="26"/>
      <c r="I19" s="26"/>
      <c r="J19" s="26"/>
      <c r="K19" s="26"/>
      <c r="L19" s="26"/>
      <c r="M19" s="26"/>
      <c r="N19" s="26"/>
      <c r="O19" s="26"/>
      <c r="P19" s="26"/>
    </row>
    <row r="20" spans="1:16">
      <c r="A20" s="26" t="s">
        <v>13</v>
      </c>
      <c r="B20" s="26" t="s">
        <v>35</v>
      </c>
      <c r="C20" s="26"/>
      <c r="D20" s="26"/>
      <c r="E20" s="26"/>
      <c r="F20" s="26"/>
      <c r="G20" s="26"/>
      <c r="H20" s="26"/>
      <c r="I20" s="26"/>
      <c r="J20" s="26"/>
      <c r="K20" s="26"/>
      <c r="L20" s="26"/>
      <c r="M20" s="26"/>
      <c r="N20" s="26"/>
      <c r="O20" s="26"/>
      <c r="P20" s="26"/>
    </row>
    <row r="21" spans="1:16">
      <c r="A21" s="26" t="s">
        <v>15</v>
      </c>
      <c r="B21" s="32">
        <v>1</v>
      </c>
      <c r="C21" s="26"/>
      <c r="D21" s="26"/>
      <c r="E21" s="26"/>
      <c r="F21" s="26"/>
      <c r="G21" s="26"/>
      <c r="H21" s="26"/>
      <c r="I21" s="26"/>
      <c r="J21" s="26"/>
      <c r="K21" s="26"/>
      <c r="L21" s="26"/>
      <c r="M21" s="26"/>
      <c r="N21" s="26"/>
    </row>
    <row r="22" spans="1:16">
      <c r="A22" s="26" t="s">
        <v>16</v>
      </c>
      <c r="B22" s="26" t="s">
        <v>17</v>
      </c>
      <c r="C22" s="26"/>
      <c r="D22" s="26"/>
      <c r="E22" s="26"/>
      <c r="F22" s="26"/>
      <c r="G22" s="26"/>
      <c r="H22" s="26"/>
      <c r="I22" s="26"/>
      <c r="J22" s="26"/>
      <c r="K22" s="26"/>
      <c r="L22" s="26"/>
      <c r="M22" s="26"/>
      <c r="N22" s="26"/>
    </row>
    <row r="23" spans="1:16">
      <c r="A23" s="26" t="s">
        <v>18</v>
      </c>
      <c r="B23" s="26" t="s">
        <v>18</v>
      </c>
      <c r="C23" s="26"/>
      <c r="D23" s="26"/>
      <c r="E23" s="26"/>
      <c r="F23" s="26"/>
      <c r="G23" s="26"/>
      <c r="H23" s="26"/>
      <c r="I23" s="26"/>
      <c r="J23" s="26"/>
      <c r="K23" s="26"/>
      <c r="L23" s="26"/>
      <c r="M23" s="26"/>
      <c r="N23" s="26"/>
    </row>
    <row r="24" spans="1:16" ht="15.75">
      <c r="A24" s="27" t="s">
        <v>19</v>
      </c>
    </row>
    <row r="25" spans="1:16" ht="15.75">
      <c r="A25" s="27" t="s">
        <v>20</v>
      </c>
      <c r="B25" s="27" t="s">
        <v>21</v>
      </c>
      <c r="C25" s="27" t="s">
        <v>18</v>
      </c>
      <c r="D25" s="27" t="s">
        <v>22</v>
      </c>
      <c r="E25" s="27" t="s">
        <v>7</v>
      </c>
      <c r="F25" s="27" t="s">
        <v>13</v>
      </c>
      <c r="G25" s="27" t="s">
        <v>16</v>
      </c>
      <c r="H25" s="27" t="s">
        <v>23</v>
      </c>
      <c r="I25" s="27" t="s">
        <v>24</v>
      </c>
      <c r="J25" s="27" t="s">
        <v>25</v>
      </c>
      <c r="K25" s="27" t="s">
        <v>26</v>
      </c>
      <c r="L25" s="27" t="s">
        <v>27</v>
      </c>
      <c r="M25" s="27" t="s">
        <v>28</v>
      </c>
      <c r="N25" s="27" t="s">
        <v>68</v>
      </c>
    </row>
    <row r="26" spans="1:16">
      <c r="A26" s="26" t="s">
        <v>181</v>
      </c>
      <c r="B26" s="26">
        <f>B21</f>
        <v>1</v>
      </c>
      <c r="C26" s="26" t="str">
        <f>B23</f>
        <v>unit</v>
      </c>
      <c r="D26" s="26" t="s">
        <v>2</v>
      </c>
      <c r="E26" s="26" t="s">
        <v>29</v>
      </c>
      <c r="F26" s="26" t="str">
        <f>B20</f>
        <v>RER</v>
      </c>
      <c r="G26" s="26" t="s">
        <v>30</v>
      </c>
      <c r="H26" s="26">
        <v>0</v>
      </c>
      <c r="I26" s="26">
        <f>B26</f>
        <v>1</v>
      </c>
      <c r="J26" s="26"/>
      <c r="K26" s="26"/>
      <c r="L26" s="26"/>
      <c r="M26" s="26"/>
      <c r="N26" s="26"/>
    </row>
    <row r="27" spans="1:16">
      <c r="A27" s="26" t="s">
        <v>166</v>
      </c>
      <c r="B27" s="26">
        <f>O18*0.21</f>
        <v>20580</v>
      </c>
      <c r="C27" s="26" t="s">
        <v>42</v>
      </c>
      <c r="D27" s="26" t="s">
        <v>40</v>
      </c>
      <c r="E27" s="26" t="s">
        <v>29</v>
      </c>
      <c r="F27" s="26" t="s">
        <v>35</v>
      </c>
      <c r="G27" s="26" t="s">
        <v>33</v>
      </c>
      <c r="H27" s="26">
        <v>0</v>
      </c>
      <c r="I27" s="26">
        <f t="shared" ref="I27" si="2">B27</f>
        <v>20580</v>
      </c>
      <c r="J27" s="26" t="s">
        <v>31</v>
      </c>
      <c r="K27" s="26" t="s">
        <v>31</v>
      </c>
      <c r="L27" s="26" t="s">
        <v>31</v>
      </c>
      <c r="M27" s="26" t="s">
        <v>31</v>
      </c>
      <c r="N27" s="26" t="s">
        <v>187</v>
      </c>
    </row>
    <row r="28" spans="1:16" s="26" customFormat="1" ht="12.75">
      <c r="A28" s="26" t="s">
        <v>188</v>
      </c>
      <c r="B28" s="26">
        <f>O18*2195.45*(1+0.02)</f>
        <v>219457181.99999997</v>
      </c>
      <c r="C28" s="26" t="s">
        <v>37</v>
      </c>
      <c r="D28" s="26" t="s">
        <v>40</v>
      </c>
      <c r="E28" s="26" t="s">
        <v>29</v>
      </c>
      <c r="F28" s="26" t="s">
        <v>164</v>
      </c>
      <c r="G28" s="26" t="s">
        <v>33</v>
      </c>
      <c r="H28" s="26">
        <v>0</v>
      </c>
      <c r="I28" s="34">
        <f>ABS(B28)</f>
        <v>219457181.99999997</v>
      </c>
      <c r="J28" s="26" t="s">
        <v>31</v>
      </c>
      <c r="K28" s="26" t="s">
        <v>31</v>
      </c>
      <c r="L28" s="26" t="s">
        <v>31</v>
      </c>
      <c r="M28" s="26" t="s">
        <v>31</v>
      </c>
      <c r="N28" s="26" t="s">
        <v>189</v>
      </c>
    </row>
    <row r="29" spans="1:16" ht="15.75">
      <c r="A29" s="29" t="s">
        <v>5</v>
      </c>
      <c r="B29" s="29" t="s">
        <v>182</v>
      </c>
      <c r="C29" s="30"/>
      <c r="D29" s="31"/>
      <c r="E29" s="31"/>
      <c r="F29" s="31"/>
      <c r="G29" s="31"/>
      <c r="H29" s="31"/>
      <c r="I29" s="31"/>
      <c r="J29" s="31"/>
      <c r="K29" s="31"/>
      <c r="L29" s="31"/>
      <c r="M29" s="31"/>
      <c r="N29" s="31"/>
      <c r="O29" s="26"/>
      <c r="P29" s="26"/>
    </row>
    <row r="30" spans="1:16">
      <c r="A30" s="26" t="s">
        <v>7</v>
      </c>
      <c r="B30" s="26" t="s">
        <v>59</v>
      </c>
      <c r="C30" s="26"/>
      <c r="D30" s="26"/>
      <c r="E30" s="26"/>
      <c r="F30" s="26"/>
      <c r="G30" s="26"/>
      <c r="H30" s="26"/>
      <c r="I30" s="26"/>
      <c r="J30" s="26"/>
      <c r="K30" s="26"/>
      <c r="L30" s="26"/>
      <c r="M30" s="26"/>
      <c r="N30" s="26"/>
      <c r="O30" s="84" t="s">
        <v>190</v>
      </c>
      <c r="P30" s="26"/>
    </row>
    <row r="31" spans="1:16">
      <c r="A31" s="26" t="s">
        <v>9</v>
      </c>
      <c r="B31" s="26" t="s">
        <v>191</v>
      </c>
      <c r="C31" s="26"/>
      <c r="D31" s="26"/>
      <c r="E31" s="26"/>
      <c r="F31" s="26"/>
      <c r="G31" s="26"/>
      <c r="H31" s="26"/>
      <c r="I31" s="26"/>
      <c r="J31" s="26"/>
      <c r="K31" s="26"/>
      <c r="L31" s="26"/>
      <c r="M31" s="26"/>
      <c r="N31" s="26"/>
      <c r="O31" s="85">
        <v>78720</v>
      </c>
      <c r="P31" s="26"/>
    </row>
    <row r="32" spans="1:16">
      <c r="A32" s="26" t="s">
        <v>11</v>
      </c>
      <c r="B32" s="26" t="s">
        <v>186</v>
      </c>
      <c r="C32" s="26"/>
      <c r="D32" s="26"/>
      <c r="E32" s="26"/>
      <c r="F32" s="26"/>
      <c r="G32" s="26"/>
      <c r="H32" s="26"/>
      <c r="I32" s="26"/>
      <c r="J32" s="26"/>
      <c r="K32" s="26"/>
      <c r="L32" s="26"/>
      <c r="M32" s="26"/>
      <c r="N32" s="26"/>
      <c r="O32" s="26"/>
      <c r="P32" s="26"/>
    </row>
    <row r="33" spans="1:16">
      <c r="A33" s="26" t="s">
        <v>13</v>
      </c>
      <c r="B33" s="26" t="s">
        <v>35</v>
      </c>
      <c r="C33" s="26"/>
      <c r="D33" s="26"/>
      <c r="E33" s="26"/>
      <c r="F33" s="26"/>
      <c r="G33" s="26"/>
      <c r="H33" s="26"/>
      <c r="I33" s="26"/>
      <c r="J33" s="26"/>
      <c r="K33" s="26"/>
      <c r="L33" s="26"/>
      <c r="M33" s="26"/>
      <c r="N33" s="26"/>
      <c r="O33" s="26"/>
      <c r="P33" s="26"/>
    </row>
    <row r="34" spans="1:16">
      <c r="A34" s="26" t="s">
        <v>15</v>
      </c>
      <c r="B34" s="32">
        <v>1</v>
      </c>
      <c r="C34" s="26"/>
      <c r="D34" s="26"/>
      <c r="E34" s="26"/>
      <c r="F34" s="26"/>
      <c r="G34" s="26"/>
      <c r="H34" s="26"/>
      <c r="I34" s="26"/>
      <c r="J34" s="26"/>
      <c r="K34" s="26"/>
      <c r="L34" s="26"/>
      <c r="M34" s="26"/>
      <c r="N34" s="26"/>
    </row>
    <row r="35" spans="1:16">
      <c r="A35" s="26" t="s">
        <v>16</v>
      </c>
      <c r="B35" s="26" t="s">
        <v>17</v>
      </c>
      <c r="C35" s="26"/>
      <c r="D35" s="26"/>
      <c r="E35" s="26"/>
      <c r="F35" s="26"/>
      <c r="G35" s="26"/>
      <c r="H35" s="26"/>
      <c r="I35" s="26"/>
      <c r="J35" s="26"/>
      <c r="K35" s="26"/>
      <c r="L35" s="26"/>
      <c r="M35" s="26"/>
      <c r="N35" s="26"/>
    </row>
    <row r="36" spans="1:16">
      <c r="A36" s="26" t="s">
        <v>18</v>
      </c>
      <c r="B36" s="26" t="s">
        <v>18</v>
      </c>
      <c r="C36" s="26"/>
      <c r="D36" s="26"/>
      <c r="E36" s="26"/>
      <c r="F36" s="26"/>
      <c r="G36" s="26"/>
      <c r="H36" s="26"/>
      <c r="I36" s="26"/>
      <c r="J36" s="26"/>
      <c r="K36" s="26"/>
      <c r="L36" s="26"/>
      <c r="M36" s="26"/>
      <c r="N36" s="26"/>
    </row>
    <row r="37" spans="1:16" ht="15.75">
      <c r="A37" s="27" t="s">
        <v>19</v>
      </c>
    </row>
    <row r="38" spans="1:16" ht="15.75">
      <c r="A38" s="27" t="s">
        <v>20</v>
      </c>
      <c r="B38" s="27" t="s">
        <v>21</v>
      </c>
      <c r="C38" s="27" t="s">
        <v>18</v>
      </c>
      <c r="D38" s="27" t="s">
        <v>22</v>
      </c>
      <c r="E38" s="27" t="s">
        <v>7</v>
      </c>
      <c r="F38" s="27" t="s">
        <v>13</v>
      </c>
      <c r="G38" s="27" t="s">
        <v>16</v>
      </c>
      <c r="H38" s="27" t="s">
        <v>23</v>
      </c>
      <c r="I38" s="27" t="s">
        <v>24</v>
      </c>
      <c r="J38" s="27" t="s">
        <v>25</v>
      </c>
      <c r="K38" s="27" t="s">
        <v>26</v>
      </c>
      <c r="L38" s="27" t="s">
        <v>27</v>
      </c>
      <c r="M38" s="27" t="s">
        <v>28</v>
      </c>
      <c r="N38" s="27" t="s">
        <v>68</v>
      </c>
    </row>
    <row r="39" spans="1:16">
      <c r="A39" s="26" t="s">
        <v>182</v>
      </c>
      <c r="B39" s="26">
        <f>B34</f>
        <v>1</v>
      </c>
      <c r="C39" s="26" t="str">
        <f>B36</f>
        <v>unit</v>
      </c>
      <c r="D39" s="26" t="s">
        <v>2</v>
      </c>
      <c r="E39" s="26" t="s">
        <v>29</v>
      </c>
      <c r="F39" s="26" t="str">
        <f>B33</f>
        <v>RER</v>
      </c>
      <c r="G39" s="26" t="s">
        <v>30</v>
      </c>
      <c r="H39" s="26">
        <v>0</v>
      </c>
      <c r="I39" s="26">
        <f>B39</f>
        <v>1</v>
      </c>
      <c r="J39" s="26"/>
      <c r="K39" s="26"/>
      <c r="L39" s="26"/>
      <c r="M39" s="26"/>
      <c r="N39" s="26"/>
    </row>
    <row r="40" spans="1:16">
      <c r="A40" s="26" t="s">
        <v>166</v>
      </c>
      <c r="B40" s="26">
        <f>O31*0.21</f>
        <v>16531.2</v>
      </c>
      <c r="C40" s="26" t="s">
        <v>42</v>
      </c>
      <c r="D40" s="26" t="s">
        <v>40</v>
      </c>
      <c r="E40" s="26" t="s">
        <v>29</v>
      </c>
      <c r="F40" s="26" t="s">
        <v>35</v>
      </c>
      <c r="G40" s="26" t="s">
        <v>33</v>
      </c>
      <c r="H40" s="26">
        <v>0</v>
      </c>
      <c r="I40" s="26">
        <f t="shared" ref="I40" si="3">B40</f>
        <v>16531.2</v>
      </c>
      <c r="J40" s="26" t="s">
        <v>31</v>
      </c>
      <c r="K40" s="26" t="s">
        <v>31</v>
      </c>
      <c r="L40" s="26" t="s">
        <v>31</v>
      </c>
      <c r="M40" s="26" t="s">
        <v>31</v>
      </c>
      <c r="N40" s="26" t="s">
        <v>187</v>
      </c>
    </row>
    <row r="41" spans="1:16" s="26" customFormat="1" ht="12.75">
      <c r="A41" s="26" t="s">
        <v>188</v>
      </c>
      <c r="B41" s="26">
        <f>O31*2195.45*(1+0.02)</f>
        <v>176282340.47999999</v>
      </c>
      <c r="C41" s="26" t="s">
        <v>37</v>
      </c>
      <c r="D41" s="26" t="s">
        <v>40</v>
      </c>
      <c r="E41" s="26" t="s">
        <v>29</v>
      </c>
      <c r="F41" s="26" t="s">
        <v>164</v>
      </c>
      <c r="G41" s="26" t="s">
        <v>33</v>
      </c>
      <c r="H41" s="26">
        <v>0</v>
      </c>
      <c r="I41" s="34">
        <f>ABS(B41)</f>
        <v>176282340.47999999</v>
      </c>
      <c r="J41" s="26" t="s">
        <v>31</v>
      </c>
      <c r="K41" s="26" t="s">
        <v>31</v>
      </c>
      <c r="L41" s="26" t="s">
        <v>31</v>
      </c>
      <c r="M41" s="26" t="s">
        <v>31</v>
      </c>
      <c r="N41" s="26" t="s">
        <v>189</v>
      </c>
    </row>
    <row r="42" spans="1:16" ht="15.75">
      <c r="A42" s="29" t="s">
        <v>5</v>
      </c>
      <c r="B42" s="29" t="s">
        <v>183</v>
      </c>
      <c r="C42" s="30"/>
      <c r="D42" s="31"/>
      <c r="E42" s="31"/>
      <c r="F42" s="31"/>
      <c r="G42" s="31"/>
      <c r="H42" s="31"/>
      <c r="I42" s="31"/>
      <c r="J42" s="31"/>
      <c r="K42" s="31"/>
      <c r="L42" s="31"/>
      <c r="M42" s="31"/>
      <c r="N42" s="31"/>
      <c r="O42" s="26"/>
    </row>
    <row r="43" spans="1:16">
      <c r="A43" s="26" t="s">
        <v>7</v>
      </c>
      <c r="B43" s="26" t="s">
        <v>59</v>
      </c>
      <c r="C43" s="26"/>
      <c r="D43" s="26"/>
      <c r="E43" s="26"/>
      <c r="F43" s="26"/>
      <c r="G43" s="26"/>
      <c r="H43" s="26"/>
      <c r="I43" s="26"/>
      <c r="J43" s="26"/>
      <c r="K43" s="26"/>
      <c r="L43" s="26"/>
      <c r="M43" s="26"/>
      <c r="N43" s="26"/>
      <c r="O43" s="84" t="s">
        <v>192</v>
      </c>
    </row>
    <row r="44" spans="1:16">
      <c r="A44" s="26" t="s">
        <v>9</v>
      </c>
      <c r="B44" s="26" t="s">
        <v>193</v>
      </c>
      <c r="C44" s="26"/>
      <c r="D44" s="26"/>
      <c r="E44" s="26"/>
      <c r="F44" s="26"/>
      <c r="G44" s="26"/>
      <c r="H44" s="26"/>
      <c r="I44" s="26"/>
      <c r="J44" s="26"/>
      <c r="K44" s="26"/>
      <c r="L44" s="26"/>
      <c r="M44" s="26"/>
      <c r="N44" s="26"/>
      <c r="O44" s="85">
        <v>99000</v>
      </c>
    </row>
    <row r="45" spans="1:16">
      <c r="A45" s="26" t="s">
        <v>11</v>
      </c>
      <c r="B45" s="26" t="s">
        <v>186</v>
      </c>
      <c r="C45" s="26"/>
      <c r="D45" s="26"/>
      <c r="E45" s="26"/>
      <c r="F45" s="26"/>
      <c r="G45" s="26"/>
      <c r="H45" s="26"/>
      <c r="I45" s="26"/>
      <c r="J45" s="26"/>
      <c r="K45" s="26"/>
      <c r="L45" s="26"/>
      <c r="M45" s="26"/>
      <c r="N45" s="26"/>
      <c r="O45" s="26"/>
    </row>
    <row r="46" spans="1:16">
      <c r="A46" s="26" t="s">
        <v>13</v>
      </c>
      <c r="B46" s="26" t="s">
        <v>35</v>
      </c>
      <c r="C46" s="26"/>
      <c r="D46" s="26"/>
      <c r="E46" s="26"/>
      <c r="F46" s="26"/>
      <c r="G46" s="26"/>
      <c r="H46" s="26"/>
      <c r="I46" s="26"/>
      <c r="J46" s="26"/>
      <c r="K46" s="26"/>
      <c r="L46" s="26"/>
      <c r="M46" s="26"/>
      <c r="N46" s="26"/>
      <c r="O46" s="26"/>
    </row>
    <row r="47" spans="1:16">
      <c r="A47" s="26" t="s">
        <v>15</v>
      </c>
      <c r="B47" s="32">
        <v>1</v>
      </c>
      <c r="C47" s="26"/>
      <c r="D47" s="26"/>
      <c r="E47" s="26"/>
      <c r="F47" s="26"/>
      <c r="G47" s="26"/>
      <c r="H47" s="26"/>
      <c r="I47" s="26"/>
      <c r="J47" s="26"/>
      <c r="K47" s="26"/>
      <c r="L47" s="26"/>
      <c r="M47" s="26"/>
      <c r="N47" s="26"/>
    </row>
    <row r="48" spans="1:16">
      <c r="A48" s="26" t="s">
        <v>16</v>
      </c>
      <c r="B48" s="26" t="s">
        <v>17</v>
      </c>
      <c r="C48" s="26"/>
      <c r="D48" s="26"/>
      <c r="E48" s="26"/>
      <c r="F48" s="26"/>
      <c r="G48" s="26"/>
      <c r="H48" s="26"/>
      <c r="I48" s="26"/>
      <c r="J48" s="26"/>
      <c r="K48" s="26"/>
      <c r="L48" s="26"/>
      <c r="M48" s="26"/>
      <c r="N48" s="26"/>
    </row>
    <row r="49" spans="1:15">
      <c r="A49" s="26" t="s">
        <v>18</v>
      </c>
      <c r="B49" s="26" t="s">
        <v>18</v>
      </c>
      <c r="C49" s="26"/>
      <c r="D49" s="26"/>
      <c r="E49" s="26"/>
      <c r="F49" s="26"/>
      <c r="G49" s="26"/>
      <c r="H49" s="26"/>
      <c r="I49" s="26"/>
      <c r="J49" s="26"/>
      <c r="K49" s="26"/>
      <c r="L49" s="26"/>
      <c r="M49" s="26"/>
      <c r="N49" s="26"/>
    </row>
    <row r="50" spans="1:15" ht="15.75">
      <c r="A50" s="27" t="s">
        <v>19</v>
      </c>
    </row>
    <row r="51" spans="1:15" ht="15.75">
      <c r="A51" s="27" t="s">
        <v>20</v>
      </c>
      <c r="B51" s="27" t="s">
        <v>21</v>
      </c>
      <c r="C51" s="27" t="s">
        <v>18</v>
      </c>
      <c r="D51" s="27" t="s">
        <v>22</v>
      </c>
      <c r="E51" s="27" t="s">
        <v>7</v>
      </c>
      <c r="F51" s="27" t="s">
        <v>13</v>
      </c>
      <c r="G51" s="27" t="s">
        <v>16</v>
      </c>
      <c r="H51" s="27" t="s">
        <v>23</v>
      </c>
      <c r="I51" s="27" t="s">
        <v>24</v>
      </c>
      <c r="J51" s="27" t="s">
        <v>25</v>
      </c>
      <c r="K51" s="27" t="s">
        <v>26</v>
      </c>
      <c r="L51" s="27" t="s">
        <v>27</v>
      </c>
      <c r="M51" s="27" t="s">
        <v>28</v>
      </c>
      <c r="N51" s="27" t="s">
        <v>68</v>
      </c>
    </row>
    <row r="52" spans="1:15">
      <c r="A52" s="26" t="s">
        <v>183</v>
      </c>
      <c r="B52" s="26">
        <f>B47</f>
        <v>1</v>
      </c>
      <c r="C52" s="26" t="str">
        <f>B49</f>
        <v>unit</v>
      </c>
      <c r="D52" s="26" t="s">
        <v>2</v>
      </c>
      <c r="E52" s="26" t="s">
        <v>29</v>
      </c>
      <c r="F52" s="26" t="str">
        <f>B46</f>
        <v>RER</v>
      </c>
      <c r="G52" s="26" t="s">
        <v>30</v>
      </c>
      <c r="H52" s="26">
        <v>0</v>
      </c>
      <c r="I52" s="26">
        <f>B52</f>
        <v>1</v>
      </c>
      <c r="J52" s="26"/>
      <c r="K52" s="26"/>
      <c r="L52" s="26"/>
      <c r="M52" s="26"/>
      <c r="N52" s="26"/>
    </row>
    <row r="53" spans="1:15">
      <c r="A53" s="26" t="s">
        <v>166</v>
      </c>
      <c r="B53" s="26">
        <f>O44*0.21</f>
        <v>20790</v>
      </c>
      <c r="C53" s="26" t="s">
        <v>42</v>
      </c>
      <c r="D53" s="26" t="s">
        <v>40</v>
      </c>
      <c r="E53" s="26" t="s">
        <v>29</v>
      </c>
      <c r="F53" s="26" t="s">
        <v>35</v>
      </c>
      <c r="G53" s="26" t="s">
        <v>33</v>
      </c>
      <c r="H53" s="26">
        <v>0</v>
      </c>
      <c r="I53" s="26">
        <f t="shared" ref="I53" si="4">B53</f>
        <v>20790</v>
      </c>
      <c r="J53" s="26" t="s">
        <v>31</v>
      </c>
      <c r="K53" s="26" t="s">
        <v>31</v>
      </c>
      <c r="L53" s="26" t="s">
        <v>31</v>
      </c>
      <c r="M53" s="26" t="s">
        <v>31</v>
      </c>
      <c r="N53" s="26" t="s">
        <v>187</v>
      </c>
    </row>
    <row r="54" spans="1:15">
      <c r="A54" s="26" t="s">
        <v>188</v>
      </c>
      <c r="B54" s="26">
        <f>O44*2195.45*(1+0.02)</f>
        <v>221696540.99999997</v>
      </c>
      <c r="C54" s="26" t="s">
        <v>37</v>
      </c>
      <c r="D54" s="26" t="s">
        <v>40</v>
      </c>
      <c r="E54" s="26" t="s">
        <v>29</v>
      </c>
      <c r="F54" s="26" t="s">
        <v>164</v>
      </c>
      <c r="G54" s="26" t="s">
        <v>33</v>
      </c>
      <c r="H54" s="26">
        <v>0</v>
      </c>
      <c r="I54" s="34">
        <f>ABS(B54)</f>
        <v>221696540.99999997</v>
      </c>
      <c r="J54" s="26" t="s">
        <v>31</v>
      </c>
      <c r="K54" s="26" t="s">
        <v>31</v>
      </c>
      <c r="L54" s="26" t="s">
        <v>31</v>
      </c>
      <c r="M54" s="26" t="s">
        <v>31</v>
      </c>
      <c r="N54" s="26" t="s">
        <v>189</v>
      </c>
      <c r="O54" s="26"/>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B109" sqref="B10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5</v>
      </c>
      <c r="B2" s="2" t="s">
        <v>53</v>
      </c>
      <c r="C2" s="3"/>
      <c r="D2" s="11"/>
      <c r="E2" s="11"/>
      <c r="F2" s="11"/>
      <c r="G2" s="11"/>
      <c r="H2" s="11"/>
      <c r="I2" s="11"/>
      <c r="J2" s="11"/>
      <c r="K2" s="11"/>
      <c r="L2" s="11"/>
      <c r="M2" s="11"/>
    </row>
    <row r="3" spans="1:13">
      <c r="A3" s="12" t="s">
        <v>7</v>
      </c>
      <c r="B3" s="13" t="s">
        <v>1496</v>
      </c>
      <c r="C3" s="4"/>
      <c r="D3" s="13"/>
      <c r="E3" s="13"/>
      <c r="F3" s="13"/>
      <c r="G3" s="13"/>
      <c r="H3" s="13"/>
      <c r="I3" s="13"/>
      <c r="J3" s="13"/>
      <c r="K3" s="13"/>
      <c r="L3" s="13"/>
      <c r="M3" s="13"/>
    </row>
    <row r="4" spans="1:13">
      <c r="A4" s="12" t="s">
        <v>9</v>
      </c>
      <c r="B4" s="13" t="s">
        <v>1497</v>
      </c>
      <c r="C4" s="4"/>
      <c r="D4" s="13"/>
      <c r="E4" s="13"/>
      <c r="F4" s="13"/>
      <c r="G4" s="13"/>
      <c r="H4" s="13"/>
      <c r="I4" s="13"/>
      <c r="J4" s="13"/>
      <c r="K4" s="13"/>
      <c r="L4" s="13"/>
      <c r="M4" s="13"/>
    </row>
    <row r="5" spans="1:13" ht="30">
      <c r="A5" s="12" t="s">
        <v>11</v>
      </c>
      <c r="B5" s="14" t="s">
        <v>1498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53</v>
      </c>
      <c r="B12" s="13">
        <v>1</v>
      </c>
      <c r="C12" s="13" t="s">
        <v>18</v>
      </c>
      <c r="D12" s="8" t="s">
        <v>2</v>
      </c>
      <c r="E12" s="13" t="s">
        <v>29</v>
      </c>
      <c r="F12" s="15" t="s">
        <v>14</v>
      </c>
      <c r="G12" s="13" t="s">
        <v>30</v>
      </c>
      <c r="H12" s="13">
        <v>1</v>
      </c>
      <c r="I12" s="13">
        <v>1</v>
      </c>
      <c r="J12" s="13" t="s">
        <v>31</v>
      </c>
      <c r="K12" s="13" t="s">
        <v>31</v>
      </c>
      <c r="L12" s="13" t="s">
        <v>31</v>
      </c>
      <c r="M12" s="13" t="s">
        <v>31</v>
      </c>
    </row>
    <row r="13" spans="1:13" ht="15.75">
      <c r="A13" s="7" t="s">
        <v>1499</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75">
      <c r="A14" s="7" t="s">
        <v>1500</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75">
      <c r="A15" s="7" t="s">
        <v>1501</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75">
      <c r="A16" s="7" t="s">
        <v>1502</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75">
      <c r="A17" s="7" t="s">
        <v>1503</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75">
      <c r="A18" s="7" t="s">
        <v>1504</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75">
      <c r="A19" s="7" t="s">
        <v>38</v>
      </c>
      <c r="B19" s="13">
        <v>71368.047999999995</v>
      </c>
      <c r="C19" s="13" t="s">
        <v>39</v>
      </c>
      <c r="D19" s="8" t="s">
        <v>40</v>
      </c>
      <c r="E19" s="13" t="s">
        <v>29</v>
      </c>
      <c r="F19" s="15" t="s">
        <v>14</v>
      </c>
      <c r="G19" s="13" t="s">
        <v>33</v>
      </c>
      <c r="H19" s="13">
        <v>2</v>
      </c>
      <c r="I19" s="13">
        <f>LN(B19)</f>
        <v>11.175605541163733</v>
      </c>
      <c r="J19" s="13">
        <v>5.0990195135927806E-2</v>
      </c>
      <c r="K19" s="13" t="s">
        <v>31</v>
      </c>
      <c r="L19" s="13" t="s">
        <v>31</v>
      </c>
      <c r="M19" s="13" t="s">
        <v>31</v>
      </c>
    </row>
    <row r="20" spans="1:13" ht="15.75">
      <c r="A20" s="7" t="s">
        <v>77</v>
      </c>
      <c r="B20" s="13">
        <f>145873.0727/(1/3.6)/38.3</f>
        <v>13711.307094516969</v>
      </c>
      <c r="C20" s="13" t="s">
        <v>42</v>
      </c>
      <c r="D20" s="8" t="s">
        <v>40</v>
      </c>
      <c r="E20" s="13" t="s">
        <v>29</v>
      </c>
      <c r="F20" s="15" t="s">
        <v>14</v>
      </c>
      <c r="G20" s="13" t="s">
        <v>33</v>
      </c>
      <c r="H20" s="13">
        <v>2</v>
      </c>
      <c r="I20" s="13">
        <f t="shared" ref="I20:I30" si="1">LN(B20)</f>
        <v>9.5259761067804689</v>
      </c>
      <c r="J20" s="13">
        <v>5.0990195135927806E-2</v>
      </c>
      <c r="K20" s="13" t="s">
        <v>31</v>
      </c>
      <c r="L20" s="13" t="s">
        <v>31</v>
      </c>
      <c r="M20" s="13" t="s">
        <v>31</v>
      </c>
    </row>
    <row r="21" spans="1:13" ht="15.75">
      <c r="A21" s="7" t="s">
        <v>220</v>
      </c>
      <c r="B21" s="13">
        <f>22244.0166*3.6</f>
        <v>80078.459759999998</v>
      </c>
      <c r="C21" s="13" t="s">
        <v>170</v>
      </c>
      <c r="D21" s="8" t="s">
        <v>40</v>
      </c>
      <c r="E21" s="13" t="s">
        <v>29</v>
      </c>
      <c r="F21" s="15" t="s">
        <v>58</v>
      </c>
      <c r="G21" s="13" t="s">
        <v>33</v>
      </c>
      <c r="H21" s="13">
        <v>2</v>
      </c>
      <c r="I21" s="13">
        <f t="shared" si="1"/>
        <v>11.290762180037897</v>
      </c>
      <c r="J21" s="13">
        <v>5.0990195135927806E-2</v>
      </c>
      <c r="K21" s="13" t="s">
        <v>31</v>
      </c>
      <c r="L21" s="13" t="s">
        <v>31</v>
      </c>
      <c r="M21" s="13" t="s">
        <v>31</v>
      </c>
    </row>
    <row r="22" spans="1:13" ht="15.75">
      <c r="A22" s="7" t="s">
        <v>1505</v>
      </c>
      <c r="B22" s="13">
        <f>131.6214*3.6/44.8</f>
        <v>10.576719642857144</v>
      </c>
      <c r="C22" s="13" t="s">
        <v>37</v>
      </c>
      <c r="D22" s="8" t="s">
        <v>40</v>
      </c>
      <c r="E22" s="13" t="s">
        <v>29</v>
      </c>
      <c r="F22" s="15" t="s">
        <v>14</v>
      </c>
      <c r="G22" s="13" t="s">
        <v>33</v>
      </c>
      <c r="H22" s="13">
        <v>2</v>
      </c>
      <c r="I22" s="13">
        <f t="shared" si="1"/>
        <v>2.3586553256938845</v>
      </c>
      <c r="J22" s="13">
        <v>5.0990195135927806E-2</v>
      </c>
      <c r="K22" s="13" t="s">
        <v>31</v>
      </c>
      <c r="L22" s="13" t="s">
        <v>31</v>
      </c>
      <c r="M22" s="13" t="s">
        <v>31</v>
      </c>
    </row>
    <row r="23" spans="1:13" ht="15.75">
      <c r="A23" s="7" t="s">
        <v>222</v>
      </c>
      <c r="B23" s="13">
        <f>15187.6471*3.6/46.2</f>
        <v>1183.4530207792207</v>
      </c>
      <c r="C23" s="13" t="s">
        <v>37</v>
      </c>
      <c r="D23" s="8" t="s">
        <v>40</v>
      </c>
      <c r="E23" s="13" t="s">
        <v>29</v>
      </c>
      <c r="F23" s="15" t="s">
        <v>741</v>
      </c>
      <c r="G23" s="13" t="s">
        <v>33</v>
      </c>
      <c r="H23" s="13">
        <v>2</v>
      </c>
      <c r="I23" s="13">
        <f t="shared" si="1"/>
        <v>7.0761917330070778</v>
      </c>
      <c r="J23" s="13">
        <v>5.0990195135927806E-2</v>
      </c>
      <c r="K23" s="13" t="s">
        <v>31</v>
      </c>
      <c r="L23" s="13" t="s">
        <v>31</v>
      </c>
      <c r="M23" s="13" t="s">
        <v>31</v>
      </c>
    </row>
    <row r="24" spans="1:13" ht="15.75">
      <c r="A24" s="7" t="s">
        <v>79</v>
      </c>
      <c r="B24" s="9">
        <v>21936.9</v>
      </c>
      <c r="C24" s="13" t="s">
        <v>37</v>
      </c>
      <c r="D24" s="8" t="s">
        <v>40</v>
      </c>
      <c r="E24" s="13" t="s">
        <v>29</v>
      </c>
      <c r="F24" s="15" t="s">
        <v>58</v>
      </c>
      <c r="G24" s="13" t="s">
        <v>33</v>
      </c>
      <c r="H24" s="13">
        <v>2</v>
      </c>
      <c r="I24" s="13">
        <f t="shared" si="1"/>
        <v>9.9959254294068423</v>
      </c>
      <c r="J24" s="13">
        <v>5.0990195135927806E-2</v>
      </c>
      <c r="K24" s="13" t="s">
        <v>31</v>
      </c>
      <c r="L24" s="13" t="s">
        <v>31</v>
      </c>
      <c r="M24" s="13" t="s">
        <v>31</v>
      </c>
    </row>
    <row r="25" spans="1:13" ht="15.75">
      <c r="A25" s="7" t="s">
        <v>226</v>
      </c>
      <c r="B25" s="9">
        <f>29249.2/1000</f>
        <v>29.249200000000002</v>
      </c>
      <c r="C25" s="13" t="s">
        <v>42</v>
      </c>
      <c r="D25" s="8" t="s">
        <v>40</v>
      </c>
      <c r="E25" s="13" t="s">
        <v>29</v>
      </c>
      <c r="F25" s="15" t="s">
        <v>741</v>
      </c>
      <c r="G25" s="13" t="s">
        <v>33</v>
      </c>
      <c r="H25" s="13">
        <v>2</v>
      </c>
      <c r="I25" s="13">
        <f t="shared" si="1"/>
        <v>3.3758522228764853</v>
      </c>
      <c r="J25" s="13">
        <v>5.0990195135927806E-2</v>
      </c>
      <c r="K25" s="13" t="s">
        <v>31</v>
      </c>
      <c r="L25" s="13" t="s">
        <v>31</v>
      </c>
      <c r="M25" s="13" t="s">
        <v>31</v>
      </c>
    </row>
    <row r="26" spans="1:13" ht="15.75">
      <c r="A26" s="7" t="s">
        <v>229</v>
      </c>
      <c r="B26" s="9">
        <v>12982.3451676</v>
      </c>
      <c r="C26" s="13" t="s">
        <v>37</v>
      </c>
      <c r="D26" s="8" t="s">
        <v>43</v>
      </c>
      <c r="E26" s="13" t="s">
        <v>44</v>
      </c>
      <c r="F26" s="15" t="s">
        <v>29</v>
      </c>
      <c r="G26" s="13" t="s">
        <v>45</v>
      </c>
      <c r="H26" s="13">
        <v>2</v>
      </c>
      <c r="I26" s="13">
        <f t="shared" si="1"/>
        <v>9.4713456494081871</v>
      </c>
      <c r="J26" s="13">
        <v>5.0990195135927806E-2</v>
      </c>
      <c r="K26" s="13" t="s">
        <v>31</v>
      </c>
      <c r="L26" s="13" t="s">
        <v>31</v>
      </c>
      <c r="M26" s="13" t="s">
        <v>31</v>
      </c>
    </row>
    <row r="27" spans="1:13" ht="15.75">
      <c r="A27" s="7" t="s">
        <v>232</v>
      </c>
      <c r="B27" s="9">
        <v>70.50339777420001</v>
      </c>
      <c r="C27" s="13" t="s">
        <v>37</v>
      </c>
      <c r="D27" s="8" t="s">
        <v>43</v>
      </c>
      <c r="E27" s="13" t="s">
        <v>44</v>
      </c>
      <c r="F27" s="15" t="s">
        <v>29</v>
      </c>
      <c r="G27" s="13" t="s">
        <v>45</v>
      </c>
      <c r="H27" s="13">
        <v>2</v>
      </c>
      <c r="I27" s="13">
        <f t="shared" si="1"/>
        <v>4.2556609040355866</v>
      </c>
      <c r="J27" s="13">
        <v>5.0990195135927806E-2</v>
      </c>
      <c r="K27" s="13" t="s">
        <v>31</v>
      </c>
      <c r="L27" s="13" t="s">
        <v>31</v>
      </c>
      <c r="M27" s="13" t="s">
        <v>31</v>
      </c>
    </row>
    <row r="28" spans="1:13" ht="15.75">
      <c r="A28" s="7" t="s">
        <v>230</v>
      </c>
      <c r="B28" s="9">
        <v>0.86593719059999996</v>
      </c>
      <c r="C28" s="13" t="s">
        <v>37</v>
      </c>
      <c r="D28" s="8" t="s">
        <v>43</v>
      </c>
      <c r="E28" s="13" t="s">
        <v>44</v>
      </c>
      <c r="F28" s="15" t="s">
        <v>29</v>
      </c>
      <c r="G28" s="13" t="s">
        <v>45</v>
      </c>
      <c r="H28" s="13">
        <v>2</v>
      </c>
      <c r="I28" s="13">
        <f t="shared" si="1"/>
        <v>-0.14394290122551687</v>
      </c>
      <c r="J28" s="13">
        <v>5.0990195135927806E-2</v>
      </c>
      <c r="K28" s="13" t="s">
        <v>31</v>
      </c>
      <c r="L28" s="13" t="s">
        <v>31</v>
      </c>
      <c r="M28" s="13" t="s">
        <v>31</v>
      </c>
    </row>
    <row r="29" spans="1:13" ht="15.75">
      <c r="A29" s="7" t="s">
        <v>231</v>
      </c>
      <c r="B29" s="9">
        <v>2.4367069782000002</v>
      </c>
      <c r="C29" s="13" t="s">
        <v>37</v>
      </c>
      <c r="D29" s="8" t="s">
        <v>43</v>
      </c>
      <c r="E29" s="13" t="s">
        <v>44</v>
      </c>
      <c r="F29" s="15" t="s">
        <v>29</v>
      </c>
      <c r="G29" s="13" t="s">
        <v>45</v>
      </c>
      <c r="H29" s="13">
        <v>2</v>
      </c>
      <c r="I29" s="13">
        <f t="shared" si="1"/>
        <v>0.89064752867766195</v>
      </c>
      <c r="J29" s="13">
        <v>5.0990195135927806E-2</v>
      </c>
      <c r="K29" s="13" t="s">
        <v>31</v>
      </c>
      <c r="L29" s="13" t="s">
        <v>31</v>
      </c>
      <c r="M29" s="13" t="s">
        <v>31</v>
      </c>
    </row>
    <row r="30" spans="1:13" ht="15.75">
      <c r="A30" s="10" t="s">
        <v>227</v>
      </c>
      <c r="B30" s="9">
        <v>862.85140000000001</v>
      </c>
      <c r="C30" s="13" t="s">
        <v>37</v>
      </c>
      <c r="D30" s="8" t="s">
        <v>40</v>
      </c>
      <c r="E30" s="13" t="s">
        <v>29</v>
      </c>
      <c r="F30" s="15" t="s">
        <v>128</v>
      </c>
      <c r="G30" s="13" t="s">
        <v>33</v>
      </c>
      <c r="H30" s="13">
        <v>2</v>
      </c>
      <c r="I30" s="13">
        <f t="shared" si="1"/>
        <v>6.7602424862222597</v>
      </c>
      <c r="J30" s="13">
        <v>5.0990195135927806E-2</v>
      </c>
      <c r="K30" s="13" t="s">
        <v>31</v>
      </c>
      <c r="L30" s="13" t="s">
        <v>31</v>
      </c>
      <c r="M30" s="13" t="s">
        <v>31</v>
      </c>
    </row>
    <row r="31" spans="1:13" ht="15.75">
      <c r="A31" s="1" t="s">
        <v>5</v>
      </c>
      <c r="B31" s="2" t="s">
        <v>1499</v>
      </c>
      <c r="C31" s="3"/>
      <c r="D31" s="11"/>
      <c r="E31" s="11"/>
      <c r="F31" s="11"/>
      <c r="G31" s="11"/>
      <c r="H31" s="11"/>
      <c r="I31" s="11"/>
      <c r="J31" s="11"/>
      <c r="K31" s="11"/>
      <c r="L31" s="11"/>
      <c r="M31" s="11"/>
    </row>
    <row r="32" spans="1:13">
      <c r="A32" s="12" t="s">
        <v>7</v>
      </c>
      <c r="B32" s="13" t="s">
        <v>49</v>
      </c>
      <c r="C32" s="4"/>
      <c r="D32" s="13"/>
      <c r="E32" s="13"/>
      <c r="F32" s="13"/>
      <c r="G32" s="13"/>
      <c r="H32" s="13"/>
      <c r="I32" s="13"/>
      <c r="J32" s="13"/>
      <c r="K32" s="13"/>
      <c r="L32" s="13"/>
      <c r="M32" s="13"/>
    </row>
    <row r="33" spans="1:13">
      <c r="A33" s="12" t="s">
        <v>9</v>
      </c>
      <c r="B33" s="13" t="s">
        <v>1506</v>
      </c>
      <c r="C33" s="13"/>
      <c r="D33" s="13"/>
      <c r="E33" s="13"/>
      <c r="F33" s="13"/>
      <c r="G33" s="13"/>
      <c r="H33" s="13"/>
      <c r="I33" s="13"/>
      <c r="J33" s="13"/>
      <c r="K33" s="13"/>
      <c r="L33" s="13"/>
      <c r="M33" s="13"/>
    </row>
    <row r="34" spans="1:13" ht="30">
      <c r="A34" s="12" t="s">
        <v>11</v>
      </c>
      <c r="B34" s="14" t="s">
        <v>1507</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75">
      <c r="A39" s="5" t="s">
        <v>19</v>
      </c>
      <c r="B39" s="13"/>
      <c r="C39" s="13"/>
      <c r="D39" s="13"/>
      <c r="E39" s="13"/>
      <c r="F39" s="13"/>
      <c r="G39" s="13"/>
      <c r="H39" s="13"/>
      <c r="I39" s="13"/>
      <c r="J39" s="13"/>
      <c r="K39" s="13"/>
      <c r="L39" s="13"/>
      <c r="M39" s="13"/>
    </row>
    <row r="40" spans="1:13" ht="15.7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75">
      <c r="A41" s="7" t="s">
        <v>1499</v>
      </c>
      <c r="B41" s="13">
        <v>1</v>
      </c>
      <c r="C41" s="13" t="s">
        <v>18</v>
      </c>
      <c r="D41" s="8" t="s">
        <v>2</v>
      </c>
      <c r="E41" s="13" t="s">
        <v>29</v>
      </c>
      <c r="F41" s="15" t="s">
        <v>14</v>
      </c>
      <c r="G41" s="13" t="s">
        <v>30</v>
      </c>
      <c r="H41" s="13">
        <v>1</v>
      </c>
      <c r="I41" s="13">
        <v>1</v>
      </c>
      <c r="J41" s="13" t="s">
        <v>31</v>
      </c>
      <c r="K41" s="13" t="s">
        <v>31</v>
      </c>
      <c r="L41" s="13" t="s">
        <v>31</v>
      </c>
      <c r="M41" s="13" t="s">
        <v>31</v>
      </c>
    </row>
    <row r="42" spans="1:13" ht="15.75">
      <c r="A42" s="7" t="s">
        <v>238</v>
      </c>
      <c r="B42" s="13">
        <v>173.03039999999999</v>
      </c>
      <c r="C42" s="13" t="s">
        <v>37</v>
      </c>
      <c r="D42" s="8" t="s">
        <v>40</v>
      </c>
      <c r="E42" s="13" t="s">
        <v>29</v>
      </c>
      <c r="F42" s="15" t="s">
        <v>58</v>
      </c>
      <c r="G42" s="13" t="s">
        <v>33</v>
      </c>
      <c r="H42" s="13">
        <v>2</v>
      </c>
      <c r="I42" s="13">
        <f t="shared" ref="I42:I45" si="2">LN(B42)</f>
        <v>5.153467301603734</v>
      </c>
      <c r="J42" s="13">
        <v>0.24083189157584584</v>
      </c>
      <c r="K42" s="13" t="s">
        <v>31</v>
      </c>
      <c r="L42" s="13" t="s">
        <v>31</v>
      </c>
      <c r="M42" s="13" t="s">
        <v>31</v>
      </c>
    </row>
    <row r="43" spans="1:13" ht="15.75">
      <c r="A43" s="7" t="s">
        <v>161</v>
      </c>
      <c r="B43" s="13">
        <v>63.759899999999995</v>
      </c>
      <c r="C43" s="13" t="s">
        <v>37</v>
      </c>
      <c r="D43" s="8" t="s">
        <v>40</v>
      </c>
      <c r="E43" s="13" t="s">
        <v>29</v>
      </c>
      <c r="F43" s="15" t="s">
        <v>58</v>
      </c>
      <c r="G43" s="13" t="s">
        <v>33</v>
      </c>
      <c r="H43" s="13">
        <v>2</v>
      </c>
      <c r="I43" s="13">
        <f t="shared" si="2"/>
        <v>4.1551244660992994</v>
      </c>
      <c r="J43" s="13">
        <v>0.24083189157584584</v>
      </c>
      <c r="K43" s="13" t="s">
        <v>31</v>
      </c>
      <c r="L43" s="13" t="s">
        <v>31</v>
      </c>
      <c r="M43" s="13" t="s">
        <v>31</v>
      </c>
    </row>
    <row r="44" spans="1:13" ht="15.75">
      <c r="A44" s="7" t="s">
        <v>253</v>
      </c>
      <c r="B44" s="13">
        <v>1895.6742000000002</v>
      </c>
      <c r="C44" s="13" t="s">
        <v>37</v>
      </c>
      <c r="D44" s="8" t="s">
        <v>40</v>
      </c>
      <c r="E44" s="13" t="s">
        <v>29</v>
      </c>
      <c r="F44" s="15" t="s">
        <v>58</v>
      </c>
      <c r="G44" s="13" t="s">
        <v>33</v>
      </c>
      <c r="H44" s="13">
        <v>2</v>
      </c>
      <c r="I44" s="13">
        <f t="shared" si="2"/>
        <v>7.5473298326065281</v>
      </c>
      <c r="J44" s="13">
        <v>0.24083189157584584</v>
      </c>
      <c r="K44" s="13" t="s">
        <v>31</v>
      </c>
      <c r="L44" s="13" t="s">
        <v>31</v>
      </c>
      <c r="M44" s="13" t="s">
        <v>31</v>
      </c>
    </row>
    <row r="45" spans="1:13" ht="15.75">
      <c r="A45" s="7" t="s">
        <v>1355</v>
      </c>
      <c r="B45" s="13">
        <v>120.5355</v>
      </c>
      <c r="C45" s="13" t="s">
        <v>37</v>
      </c>
      <c r="D45" s="8" t="s">
        <v>40</v>
      </c>
      <c r="E45" s="13" t="s">
        <v>29</v>
      </c>
      <c r="F45" s="15" t="s">
        <v>58</v>
      </c>
      <c r="G45" s="13" t="s">
        <v>33</v>
      </c>
      <c r="H45" s="13">
        <v>2</v>
      </c>
      <c r="I45" s="13">
        <f t="shared" si="2"/>
        <v>4.791944315352068</v>
      </c>
      <c r="J45" s="13">
        <v>0.24083189157584584</v>
      </c>
      <c r="K45" s="13" t="s">
        <v>31</v>
      </c>
      <c r="L45" s="13" t="s">
        <v>31</v>
      </c>
      <c r="M45" s="13" t="s">
        <v>31</v>
      </c>
    </row>
    <row r="46" spans="1:13" ht="15.75">
      <c r="A46" s="1" t="s">
        <v>5</v>
      </c>
      <c r="B46" s="2" t="s">
        <v>1500</v>
      </c>
      <c r="C46" s="3"/>
      <c r="D46" s="11"/>
      <c r="E46" s="11"/>
      <c r="F46" s="11"/>
      <c r="G46" s="11"/>
      <c r="H46" s="11"/>
      <c r="I46" s="11"/>
      <c r="J46" s="11"/>
      <c r="K46" s="11"/>
      <c r="L46" s="11"/>
      <c r="M46" s="11"/>
    </row>
    <row r="47" spans="1:13">
      <c r="A47" s="12" t="s">
        <v>7</v>
      </c>
      <c r="B47" s="13" t="s">
        <v>49</v>
      </c>
      <c r="C47" s="4"/>
      <c r="D47" s="13"/>
      <c r="E47" s="13"/>
      <c r="F47" s="13"/>
      <c r="G47" s="13"/>
      <c r="H47" s="13"/>
      <c r="I47" s="13"/>
      <c r="J47" s="13"/>
      <c r="K47" s="13"/>
      <c r="L47" s="13"/>
      <c r="M47" s="13"/>
    </row>
    <row r="48" spans="1:13">
      <c r="A48" s="12" t="s">
        <v>9</v>
      </c>
      <c r="B48" s="13" t="s">
        <v>1508</v>
      </c>
      <c r="C48" s="13"/>
      <c r="D48" s="13"/>
      <c r="E48" s="13"/>
      <c r="F48" s="13"/>
      <c r="G48" s="13"/>
      <c r="H48" s="13"/>
      <c r="I48" s="13"/>
      <c r="J48" s="13"/>
      <c r="K48" s="13"/>
      <c r="L48" s="13"/>
      <c r="M48" s="13"/>
    </row>
    <row r="49" spans="1:13" ht="30">
      <c r="A49" s="12" t="s">
        <v>11</v>
      </c>
      <c r="B49" s="14" t="s">
        <v>1509</v>
      </c>
      <c r="C49" s="13"/>
      <c r="D49" s="13"/>
      <c r="E49" s="13"/>
      <c r="F49" s="13"/>
      <c r="G49" s="13"/>
      <c r="H49" s="13"/>
      <c r="I49" s="13"/>
      <c r="J49" s="13"/>
      <c r="K49" s="13"/>
      <c r="L49" s="13"/>
      <c r="M49" s="13"/>
    </row>
    <row r="50" spans="1:13">
      <c r="A50" s="12" t="s">
        <v>13</v>
      </c>
      <c r="B50" s="13" t="s">
        <v>14</v>
      </c>
      <c r="C50" s="13"/>
      <c r="D50" s="13"/>
      <c r="E50" s="13"/>
      <c r="F50" s="13"/>
      <c r="G50" s="13"/>
      <c r="H50" s="13"/>
      <c r="I50" s="13"/>
      <c r="J50" s="13"/>
      <c r="K50" s="13"/>
      <c r="L50" s="13"/>
      <c r="M50" s="13"/>
    </row>
    <row r="51" spans="1:13">
      <c r="A51" s="12" t="s">
        <v>15</v>
      </c>
      <c r="B51" s="13">
        <v>1</v>
      </c>
      <c r="C51" s="13"/>
      <c r="D51" s="13"/>
      <c r="E51" s="13"/>
      <c r="F51" s="13"/>
      <c r="G51" s="13"/>
      <c r="H51" s="13"/>
      <c r="I51" s="13"/>
      <c r="J51" s="13"/>
      <c r="K51" s="13"/>
      <c r="L51" s="13"/>
      <c r="M51" s="13"/>
    </row>
    <row r="52" spans="1:13">
      <c r="A52" s="12" t="s">
        <v>16</v>
      </c>
      <c r="B52" s="13" t="s">
        <v>17</v>
      </c>
      <c r="C52" s="13"/>
      <c r="D52" s="13"/>
      <c r="E52" s="13"/>
      <c r="F52" s="13"/>
      <c r="G52" s="13"/>
      <c r="H52" s="13"/>
      <c r="I52" s="13"/>
      <c r="J52" s="13"/>
      <c r="K52" s="13"/>
      <c r="L52" s="13"/>
      <c r="M52" s="13"/>
    </row>
    <row r="53" spans="1:13">
      <c r="A53" s="12" t="s">
        <v>18</v>
      </c>
      <c r="B53" s="13" t="s">
        <v>18</v>
      </c>
      <c r="C53" s="13"/>
      <c r="D53" s="13"/>
      <c r="E53" s="13"/>
      <c r="F53" s="13"/>
      <c r="G53" s="13"/>
      <c r="H53" s="13"/>
      <c r="I53" s="13"/>
      <c r="J53" s="13"/>
      <c r="K53" s="13"/>
      <c r="L53" s="13"/>
      <c r="M53" s="13"/>
    </row>
    <row r="54" spans="1:13" ht="15.75">
      <c r="A54" s="5" t="s">
        <v>19</v>
      </c>
      <c r="B54" s="13"/>
      <c r="C54" s="13"/>
      <c r="D54" s="13"/>
      <c r="E54" s="13"/>
      <c r="F54" s="13"/>
      <c r="G54" s="13"/>
      <c r="H54" s="13"/>
      <c r="I54" s="13"/>
      <c r="J54" s="13"/>
      <c r="K54" s="13"/>
      <c r="L54" s="13"/>
      <c r="M54" s="13"/>
    </row>
    <row r="55" spans="1:13"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3" ht="15.75">
      <c r="A56" s="7" t="s">
        <v>1500</v>
      </c>
      <c r="B56" s="13">
        <v>1</v>
      </c>
      <c r="C56" s="13" t="s">
        <v>18</v>
      </c>
      <c r="D56" s="8" t="s">
        <v>2</v>
      </c>
      <c r="E56" s="13" t="s">
        <v>29</v>
      </c>
      <c r="F56" s="15" t="s">
        <v>14</v>
      </c>
      <c r="G56" s="13" t="s">
        <v>30</v>
      </c>
      <c r="H56" s="13">
        <v>1</v>
      </c>
      <c r="I56" s="13">
        <v>1</v>
      </c>
      <c r="J56" s="13" t="s">
        <v>31</v>
      </c>
      <c r="K56" s="13" t="s">
        <v>31</v>
      </c>
      <c r="L56" s="13" t="s">
        <v>31</v>
      </c>
      <c r="M56" s="13" t="s">
        <v>31</v>
      </c>
    </row>
    <row r="57" spans="1:13" ht="15.75">
      <c r="A57" s="7" t="s">
        <v>238</v>
      </c>
      <c r="B57" s="13">
        <v>12.984176877996806</v>
      </c>
      <c r="C57" s="13" t="s">
        <v>37</v>
      </c>
      <c r="D57" s="8" t="s">
        <v>40</v>
      </c>
      <c r="E57" s="13" t="s">
        <v>29</v>
      </c>
      <c r="F57" s="15" t="s">
        <v>58</v>
      </c>
      <c r="G57" s="13" t="s">
        <v>33</v>
      </c>
      <c r="H57" s="13">
        <v>2</v>
      </c>
      <c r="I57" s="13">
        <f>LN(B57)</f>
        <v>2.5637314528857367</v>
      </c>
      <c r="J57" s="13">
        <v>0.24083189157584584</v>
      </c>
      <c r="K57" s="13" t="s">
        <v>31</v>
      </c>
      <c r="L57" s="13" t="s">
        <v>31</v>
      </c>
      <c r="M57" s="13" t="s">
        <v>31</v>
      </c>
    </row>
    <row r="58" spans="1:13" ht="15.75">
      <c r="A58" s="7" t="s">
        <v>253</v>
      </c>
      <c r="B58" s="13">
        <v>221.37378795950988</v>
      </c>
      <c r="C58" s="13" t="s">
        <v>37</v>
      </c>
      <c r="D58" s="8" t="s">
        <v>40</v>
      </c>
      <c r="E58" s="13" t="s">
        <v>29</v>
      </c>
      <c r="F58" s="15" t="s">
        <v>58</v>
      </c>
      <c r="G58" s="13" t="s">
        <v>33</v>
      </c>
      <c r="H58" s="13">
        <v>2</v>
      </c>
      <c r="I58" s="13">
        <f>LN(B58)</f>
        <v>5.3998526210321538</v>
      </c>
      <c r="J58" s="13">
        <v>0.24083189157584584</v>
      </c>
      <c r="K58" s="13" t="s">
        <v>31</v>
      </c>
      <c r="L58" s="13" t="s">
        <v>31</v>
      </c>
      <c r="M58" s="13" t="s">
        <v>31</v>
      </c>
    </row>
    <row r="59" spans="1:13" ht="15.75">
      <c r="A59" s="7" t="s">
        <v>1510</v>
      </c>
      <c r="B59" s="13">
        <v>6.9420351624933403</v>
      </c>
      <c r="C59" s="13" t="s">
        <v>37</v>
      </c>
      <c r="D59" s="8" t="s">
        <v>40</v>
      </c>
      <c r="E59" s="13" t="s">
        <v>29</v>
      </c>
      <c r="F59" s="15" t="s">
        <v>58</v>
      </c>
      <c r="G59" s="13" t="s">
        <v>33</v>
      </c>
      <c r="H59" s="13">
        <v>2</v>
      </c>
      <c r="I59" s="13">
        <f>LN(B59)</f>
        <v>1.9375949826087515</v>
      </c>
      <c r="J59" s="13">
        <v>0.24083189157584584</v>
      </c>
      <c r="K59" s="13" t="s">
        <v>31</v>
      </c>
      <c r="L59" s="13" t="s">
        <v>31</v>
      </c>
      <c r="M59" s="13" t="s">
        <v>31</v>
      </c>
    </row>
    <row r="60" spans="1:13" ht="15.75">
      <c r="A60" s="1" t="s">
        <v>5</v>
      </c>
      <c r="B60" s="2" t="s">
        <v>1501</v>
      </c>
      <c r="C60" s="3"/>
      <c r="D60" s="11"/>
      <c r="E60" s="11"/>
      <c r="F60" s="11"/>
      <c r="G60" s="11"/>
      <c r="H60" s="11"/>
      <c r="I60" s="11"/>
      <c r="J60" s="11"/>
      <c r="K60" s="11"/>
      <c r="L60" s="11"/>
      <c r="M60" s="11"/>
    </row>
    <row r="61" spans="1:13">
      <c r="A61" s="12" t="s">
        <v>7</v>
      </c>
      <c r="B61" s="13" t="s">
        <v>49</v>
      </c>
      <c r="C61" s="4"/>
      <c r="D61" s="13"/>
      <c r="E61" s="13"/>
      <c r="F61" s="13"/>
      <c r="G61" s="13"/>
      <c r="H61" s="13"/>
      <c r="I61" s="13"/>
      <c r="J61" s="13"/>
      <c r="K61" s="13"/>
      <c r="L61" s="13"/>
      <c r="M61" s="13"/>
    </row>
    <row r="62" spans="1:13">
      <c r="A62" s="12" t="s">
        <v>9</v>
      </c>
      <c r="B62" s="13" t="s">
        <v>1511</v>
      </c>
      <c r="C62" s="13"/>
      <c r="D62" s="13"/>
      <c r="E62" s="13"/>
      <c r="F62" s="13"/>
      <c r="G62" s="13"/>
      <c r="H62" s="13"/>
      <c r="I62" s="13"/>
      <c r="J62" s="13"/>
      <c r="K62" s="13"/>
      <c r="L62" s="13"/>
      <c r="M62" s="13"/>
    </row>
    <row r="63" spans="1:13" ht="30">
      <c r="A63" s="12" t="s">
        <v>11</v>
      </c>
      <c r="B63" s="14" t="s">
        <v>1512</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ht="15.75">
      <c r="A68" s="5" t="s">
        <v>19</v>
      </c>
      <c r="B68" s="13"/>
      <c r="C68" s="13"/>
      <c r="D68" s="13"/>
      <c r="E68" s="13"/>
      <c r="F68" s="13"/>
      <c r="G68" s="13"/>
      <c r="H68" s="13"/>
      <c r="I68" s="13"/>
      <c r="J68" s="13"/>
      <c r="K68" s="13"/>
      <c r="L68" s="13"/>
      <c r="M68" s="13"/>
    </row>
    <row r="69" spans="1:13" ht="15.75">
      <c r="A69" s="5" t="s">
        <v>20</v>
      </c>
      <c r="B69" s="6" t="s">
        <v>21</v>
      </c>
      <c r="C69" s="6" t="s">
        <v>18</v>
      </c>
      <c r="D69" s="6" t="s">
        <v>22</v>
      </c>
      <c r="E69" s="6" t="s">
        <v>7</v>
      </c>
      <c r="F69" s="6" t="s">
        <v>13</v>
      </c>
      <c r="G69" s="6" t="s">
        <v>16</v>
      </c>
      <c r="H69" s="6" t="s">
        <v>23</v>
      </c>
      <c r="I69" s="6" t="s">
        <v>24</v>
      </c>
      <c r="J69" s="6" t="s">
        <v>25</v>
      </c>
      <c r="K69" s="6" t="s">
        <v>26</v>
      </c>
      <c r="L69" s="6" t="s">
        <v>27</v>
      </c>
      <c r="M69" s="6" t="s">
        <v>28</v>
      </c>
    </row>
    <row r="70" spans="1:13" ht="15.75">
      <c r="A70" s="7" t="s">
        <v>1501</v>
      </c>
      <c r="B70" s="13">
        <v>1</v>
      </c>
      <c r="C70" s="13" t="s">
        <v>18</v>
      </c>
      <c r="D70" s="8" t="s">
        <v>2</v>
      </c>
      <c r="E70" s="13" t="s">
        <v>29</v>
      </c>
      <c r="F70" s="15" t="s">
        <v>14</v>
      </c>
      <c r="G70" s="13" t="s">
        <v>30</v>
      </c>
      <c r="H70" s="13">
        <v>1</v>
      </c>
      <c r="I70" s="13">
        <v>1</v>
      </c>
      <c r="J70" s="13" t="s">
        <v>31</v>
      </c>
      <c r="K70" s="13" t="s">
        <v>31</v>
      </c>
      <c r="L70" s="13" t="s">
        <v>31</v>
      </c>
      <c r="M70" s="13" t="s">
        <v>31</v>
      </c>
    </row>
    <row r="71" spans="1:13" ht="15.75">
      <c r="A71" s="7" t="s">
        <v>238</v>
      </c>
      <c r="B71" s="13">
        <v>12.750587248322146</v>
      </c>
      <c r="C71" s="13" t="s">
        <v>37</v>
      </c>
      <c r="D71" s="8" t="s">
        <v>40</v>
      </c>
      <c r="E71" s="13" t="s">
        <v>29</v>
      </c>
      <c r="F71" s="15" t="s">
        <v>58</v>
      </c>
      <c r="G71" s="13" t="s">
        <v>33</v>
      </c>
      <c r="H71" s="13">
        <v>2</v>
      </c>
      <c r="I71" s="13">
        <f>LN(B71)</f>
        <v>2.5455773292356993</v>
      </c>
      <c r="J71" s="13">
        <v>0.24083189157584584</v>
      </c>
      <c r="K71" s="13" t="s">
        <v>31</v>
      </c>
      <c r="L71" s="13" t="s">
        <v>31</v>
      </c>
      <c r="M71" s="13" t="s">
        <v>31</v>
      </c>
    </row>
    <row r="72" spans="1:13" ht="15.75">
      <c r="A72" s="7" t="s">
        <v>253</v>
      </c>
      <c r="B72" s="13">
        <v>204.00939597315434</v>
      </c>
      <c r="C72" s="13" t="s">
        <v>37</v>
      </c>
      <c r="D72" s="8" t="s">
        <v>40</v>
      </c>
      <c r="E72" s="13" t="s">
        <v>29</v>
      </c>
      <c r="F72" s="15" t="s">
        <v>58</v>
      </c>
      <c r="G72" s="13" t="s">
        <v>33</v>
      </c>
      <c r="H72" s="13">
        <v>2</v>
      </c>
      <c r="I72" s="13">
        <f>LN(B72)</f>
        <v>5.3181660514754805</v>
      </c>
      <c r="J72" s="13">
        <v>0.24083189157584584</v>
      </c>
      <c r="K72" s="13" t="s">
        <v>31</v>
      </c>
      <c r="L72" s="13" t="s">
        <v>31</v>
      </c>
      <c r="M72" s="13" t="s">
        <v>31</v>
      </c>
    </row>
    <row r="73" spans="1:13" ht="15.75">
      <c r="A73" s="7" t="s">
        <v>1510</v>
      </c>
      <c r="B73" s="13">
        <v>153.94001677852347</v>
      </c>
      <c r="C73" s="13" t="s">
        <v>37</v>
      </c>
      <c r="D73" s="8" t="s">
        <v>40</v>
      </c>
      <c r="E73" s="13" t="s">
        <v>29</v>
      </c>
      <c r="F73" s="15" t="s">
        <v>58</v>
      </c>
      <c r="G73" s="13" t="s">
        <v>33</v>
      </c>
      <c r="H73" s="13">
        <v>2</v>
      </c>
      <c r="I73" s="13">
        <f>LN(B73)</f>
        <v>5.0365630251000821</v>
      </c>
      <c r="J73" s="13">
        <v>0.24083189157584584</v>
      </c>
      <c r="K73" s="13" t="s">
        <v>31</v>
      </c>
      <c r="L73" s="13" t="s">
        <v>31</v>
      </c>
      <c r="M73" s="13" t="s">
        <v>31</v>
      </c>
    </row>
    <row r="74" spans="1:13" ht="15.75">
      <c r="A74" s="1" t="s">
        <v>5</v>
      </c>
      <c r="B74" s="2" t="s">
        <v>1502</v>
      </c>
      <c r="C74" s="3"/>
      <c r="D74" s="11"/>
      <c r="E74" s="11"/>
      <c r="F74" s="11"/>
      <c r="G74" s="11"/>
      <c r="H74" s="11"/>
      <c r="I74" s="11"/>
      <c r="J74" s="11"/>
      <c r="K74" s="11"/>
      <c r="L74" s="11"/>
      <c r="M74" s="11"/>
    </row>
    <row r="75" spans="1:13">
      <c r="A75" s="12" t="s">
        <v>7</v>
      </c>
      <c r="B75" s="13" t="s">
        <v>49</v>
      </c>
      <c r="C75" s="4"/>
      <c r="D75" s="13"/>
      <c r="E75" s="13"/>
      <c r="F75" s="13"/>
      <c r="G75" s="13"/>
      <c r="H75" s="13"/>
      <c r="I75" s="13"/>
      <c r="J75" s="13"/>
      <c r="K75" s="13"/>
      <c r="L75" s="13"/>
      <c r="M75" s="13"/>
    </row>
    <row r="76" spans="1:13">
      <c r="A76" s="12" t="s">
        <v>9</v>
      </c>
      <c r="B76" s="13" t="s">
        <v>1513</v>
      </c>
      <c r="C76" s="13"/>
      <c r="D76" s="13"/>
      <c r="E76" s="13"/>
      <c r="F76" s="13"/>
      <c r="G76" s="13"/>
      <c r="H76" s="13"/>
      <c r="I76" s="13"/>
      <c r="J76" s="13"/>
      <c r="K76" s="13"/>
      <c r="L76" s="13"/>
      <c r="M76" s="13"/>
    </row>
    <row r="77" spans="1:13" ht="60">
      <c r="A77" s="12" t="s">
        <v>11</v>
      </c>
      <c r="B77" s="14" t="s">
        <v>1514</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ht="15.75">
      <c r="A82" s="5" t="s">
        <v>19</v>
      </c>
      <c r="B82" s="13"/>
      <c r="C82" s="13"/>
      <c r="D82" s="13"/>
      <c r="E82" s="13"/>
      <c r="F82" s="13"/>
      <c r="G82" s="13"/>
      <c r="H82" s="13"/>
      <c r="I82" s="13"/>
      <c r="J82" s="13"/>
      <c r="K82" s="13"/>
      <c r="L82" s="13"/>
      <c r="M82" s="13"/>
    </row>
    <row r="83" spans="1:13" ht="15.75">
      <c r="A83" s="5" t="s">
        <v>20</v>
      </c>
      <c r="B83" s="6" t="s">
        <v>21</v>
      </c>
      <c r="C83" s="6" t="s">
        <v>18</v>
      </c>
      <c r="D83" s="6" t="s">
        <v>22</v>
      </c>
      <c r="E83" s="6" t="s">
        <v>7</v>
      </c>
      <c r="F83" s="6" t="s">
        <v>13</v>
      </c>
      <c r="G83" s="6" t="s">
        <v>16</v>
      </c>
      <c r="H83" s="6" t="s">
        <v>23</v>
      </c>
      <c r="I83" s="6" t="s">
        <v>24</v>
      </c>
      <c r="J83" s="6" t="s">
        <v>25</v>
      </c>
      <c r="K83" s="6" t="s">
        <v>26</v>
      </c>
      <c r="L83" s="6" t="s">
        <v>27</v>
      </c>
      <c r="M83" s="6" t="s">
        <v>28</v>
      </c>
    </row>
    <row r="84" spans="1:13" ht="15.75">
      <c r="A84" s="7" t="s">
        <v>1502</v>
      </c>
      <c r="B84" s="13">
        <v>1</v>
      </c>
      <c r="C84" s="13" t="s">
        <v>18</v>
      </c>
      <c r="D84" s="8" t="s">
        <v>2</v>
      </c>
      <c r="E84" s="13" t="s">
        <v>29</v>
      </c>
      <c r="F84" s="15" t="s">
        <v>14</v>
      </c>
      <c r="G84" s="13" t="s">
        <v>30</v>
      </c>
      <c r="H84" s="13">
        <v>1</v>
      </c>
      <c r="I84" s="13">
        <v>1</v>
      </c>
      <c r="J84" s="13" t="s">
        <v>31</v>
      </c>
      <c r="K84" s="13" t="s">
        <v>31</v>
      </c>
      <c r="L84" s="13" t="s">
        <v>31</v>
      </c>
      <c r="M84" s="13" t="s">
        <v>31</v>
      </c>
    </row>
    <row r="85" spans="1:13" ht="15.75">
      <c r="A85" s="7" t="s">
        <v>238</v>
      </c>
      <c r="B85" s="13">
        <v>209.74530208879239</v>
      </c>
      <c r="C85" s="13" t="s">
        <v>37</v>
      </c>
      <c r="D85" s="8" t="s">
        <v>40</v>
      </c>
      <c r="E85" s="13" t="s">
        <v>29</v>
      </c>
      <c r="F85" s="15" t="s">
        <v>58</v>
      </c>
      <c r="G85" s="13" t="s">
        <v>33</v>
      </c>
      <c r="H85" s="13">
        <v>2</v>
      </c>
      <c r="I85" s="13">
        <f>LN(B85)</f>
        <v>5.3458939474268412</v>
      </c>
      <c r="J85" s="13">
        <v>0.24083189157584584</v>
      </c>
      <c r="K85" s="13" t="s">
        <v>31</v>
      </c>
      <c r="L85" s="13" t="s">
        <v>31</v>
      </c>
      <c r="M85" s="13" t="s">
        <v>31</v>
      </c>
    </row>
    <row r="86" spans="1:13" ht="15.75">
      <c r="A86" s="7" t="s">
        <v>1510</v>
      </c>
      <c r="B86" s="13">
        <v>14.896683386988094</v>
      </c>
      <c r="C86" s="13" t="s">
        <v>37</v>
      </c>
      <c r="D86" s="8" t="s">
        <v>40</v>
      </c>
      <c r="E86" s="13" t="s">
        <v>29</v>
      </c>
      <c r="F86" s="15" t="s">
        <v>58</v>
      </c>
      <c r="G86" s="13" t="s">
        <v>33</v>
      </c>
      <c r="H86" s="13">
        <v>2</v>
      </c>
      <c r="I86" s="13">
        <f>LN(B86)</f>
        <v>2.7011385966969446</v>
      </c>
      <c r="J86" s="13">
        <v>0.24083189157584584</v>
      </c>
      <c r="K86" s="13" t="s">
        <v>31</v>
      </c>
      <c r="L86" s="13" t="s">
        <v>31</v>
      </c>
      <c r="M86" s="13" t="s">
        <v>31</v>
      </c>
    </row>
    <row r="87" spans="1:13" ht="15.75">
      <c r="A87" s="7" t="s">
        <v>161</v>
      </c>
      <c r="B87" s="13">
        <v>22.523785281125999</v>
      </c>
      <c r="C87" s="13" t="s">
        <v>37</v>
      </c>
      <c r="D87" s="8" t="s">
        <v>40</v>
      </c>
      <c r="E87" s="13" t="s">
        <v>29</v>
      </c>
      <c r="F87" s="15" t="s">
        <v>58</v>
      </c>
      <c r="G87" s="13" t="s">
        <v>33</v>
      </c>
      <c r="H87" s="13">
        <v>2</v>
      </c>
      <c r="I87" s="13">
        <f t="shared" ref="I87:I89" si="3">LN(B87)</f>
        <v>3.1145718744542861</v>
      </c>
      <c r="J87" s="13">
        <v>0.24083189157584584</v>
      </c>
      <c r="K87" s="13" t="s">
        <v>31</v>
      </c>
      <c r="L87" s="13" t="s">
        <v>31</v>
      </c>
      <c r="M87" s="13" t="s">
        <v>31</v>
      </c>
    </row>
    <row r="88" spans="1:13" ht="15.75">
      <c r="A88" s="7" t="s">
        <v>1355</v>
      </c>
      <c r="B88" s="13">
        <v>148.96683386988096</v>
      </c>
      <c r="C88" s="13" t="s">
        <v>37</v>
      </c>
      <c r="D88" s="8" t="s">
        <v>40</v>
      </c>
      <c r="E88" s="13" t="s">
        <v>29</v>
      </c>
      <c r="F88" s="15" t="s">
        <v>58</v>
      </c>
      <c r="G88" s="13" t="s">
        <v>33</v>
      </c>
      <c r="H88" s="13">
        <v>2</v>
      </c>
      <c r="I88" s="13">
        <f t="shared" si="3"/>
        <v>5.0037236896909905</v>
      </c>
      <c r="J88" s="13">
        <v>0.24083189157584584</v>
      </c>
      <c r="K88" s="13" t="s">
        <v>31</v>
      </c>
      <c r="L88" s="13" t="s">
        <v>31</v>
      </c>
      <c r="M88" s="13" t="s">
        <v>31</v>
      </c>
    </row>
    <row r="89" spans="1:13" ht="15.75">
      <c r="A89" s="7" t="s">
        <v>253</v>
      </c>
      <c r="B89" s="13">
        <v>2787.4673953732126</v>
      </c>
      <c r="C89" s="13" t="s">
        <v>37</v>
      </c>
      <c r="D89" s="8" t="s">
        <v>40</v>
      </c>
      <c r="E89" s="13" t="s">
        <v>29</v>
      </c>
      <c r="F89" s="15" t="s">
        <v>58</v>
      </c>
      <c r="G89" s="13" t="s">
        <v>33</v>
      </c>
      <c r="H89" s="13">
        <v>2</v>
      </c>
      <c r="I89" s="13">
        <f t="shared" si="3"/>
        <v>7.9328887189728681</v>
      </c>
      <c r="J89" s="13">
        <v>0.24083189157584584</v>
      </c>
      <c r="K89" s="13" t="s">
        <v>31</v>
      </c>
      <c r="L89" s="13" t="s">
        <v>31</v>
      </c>
      <c r="M89" s="13" t="s">
        <v>31</v>
      </c>
    </row>
    <row r="90" spans="1:13" ht="15.75">
      <c r="A90" s="1" t="s">
        <v>5</v>
      </c>
      <c r="B90" s="2" t="s">
        <v>1503</v>
      </c>
      <c r="C90" s="3"/>
      <c r="D90" s="11"/>
      <c r="E90" s="11"/>
      <c r="F90" s="11"/>
      <c r="G90" s="11"/>
      <c r="H90" s="11"/>
      <c r="I90" s="11"/>
      <c r="J90" s="11"/>
      <c r="K90" s="11"/>
      <c r="L90" s="11"/>
      <c r="M90" s="11"/>
    </row>
    <row r="91" spans="1:13">
      <c r="A91" s="12" t="s">
        <v>7</v>
      </c>
      <c r="B91" s="13" t="s">
        <v>49</v>
      </c>
      <c r="C91" s="4"/>
      <c r="D91" s="13"/>
      <c r="E91" s="13"/>
      <c r="F91" s="13"/>
      <c r="G91" s="13"/>
      <c r="H91" s="13"/>
      <c r="I91" s="13"/>
      <c r="J91" s="13"/>
      <c r="K91" s="13"/>
      <c r="L91" s="13"/>
      <c r="M91" s="13"/>
    </row>
    <row r="92" spans="1:13">
      <c r="A92" s="12" t="s">
        <v>9</v>
      </c>
      <c r="B92" s="13" t="s">
        <v>1515</v>
      </c>
      <c r="C92" s="13"/>
      <c r="D92" s="13"/>
      <c r="E92" s="13"/>
      <c r="F92" s="13"/>
      <c r="G92" s="13"/>
      <c r="H92" s="13"/>
      <c r="I92" s="13"/>
      <c r="J92" s="13"/>
      <c r="K92" s="13"/>
      <c r="L92" s="13"/>
      <c r="M92" s="13"/>
    </row>
    <row r="93" spans="1:13" ht="45">
      <c r="A93" s="12" t="s">
        <v>11</v>
      </c>
      <c r="B93" s="14" t="s">
        <v>1516</v>
      </c>
      <c r="C93" s="13"/>
      <c r="D93" s="13"/>
      <c r="E93" s="13"/>
      <c r="F93" s="13"/>
      <c r="G93" s="13"/>
      <c r="H93" s="13"/>
      <c r="I93" s="13"/>
      <c r="J93" s="13"/>
      <c r="K93" s="13"/>
      <c r="L93" s="13"/>
      <c r="M93" s="13"/>
    </row>
    <row r="94" spans="1:13">
      <c r="A94" s="12" t="s">
        <v>13</v>
      </c>
      <c r="B94" s="13" t="s">
        <v>14</v>
      </c>
      <c r="C94" s="13"/>
      <c r="D94" s="13"/>
      <c r="E94" s="13"/>
      <c r="F94" s="13"/>
      <c r="G94" s="13"/>
      <c r="H94" s="13"/>
      <c r="I94" s="13"/>
      <c r="J94" s="13"/>
      <c r="K94" s="13"/>
      <c r="L94" s="13"/>
      <c r="M94" s="13"/>
    </row>
    <row r="95" spans="1:13">
      <c r="A95" s="12" t="s">
        <v>15</v>
      </c>
      <c r="B95" s="13">
        <v>1</v>
      </c>
      <c r="C95" s="13"/>
      <c r="D95" s="13"/>
      <c r="E95" s="13"/>
      <c r="F95" s="13"/>
      <c r="G95" s="13"/>
      <c r="H95" s="13"/>
      <c r="I95" s="13"/>
      <c r="J95" s="13"/>
      <c r="K95" s="13"/>
      <c r="L95" s="13"/>
      <c r="M95" s="13"/>
    </row>
    <row r="96" spans="1:13">
      <c r="A96" s="12" t="s">
        <v>16</v>
      </c>
      <c r="B96" s="13" t="s">
        <v>17</v>
      </c>
      <c r="C96" s="13"/>
      <c r="D96" s="13"/>
      <c r="E96" s="13"/>
      <c r="F96" s="13"/>
      <c r="G96" s="13"/>
      <c r="H96" s="13"/>
      <c r="I96" s="13"/>
      <c r="J96" s="13"/>
      <c r="K96" s="13"/>
      <c r="L96" s="13"/>
      <c r="M96" s="13"/>
    </row>
    <row r="97" spans="1:13">
      <c r="A97" s="12" t="s">
        <v>18</v>
      </c>
      <c r="B97" s="13" t="s">
        <v>18</v>
      </c>
      <c r="C97" s="13"/>
      <c r="D97" s="13"/>
      <c r="E97" s="13"/>
      <c r="F97" s="13"/>
      <c r="G97" s="13"/>
      <c r="H97" s="13"/>
      <c r="I97" s="13"/>
      <c r="J97" s="13"/>
      <c r="K97" s="13"/>
      <c r="L97" s="13"/>
      <c r="M97" s="13"/>
    </row>
    <row r="98" spans="1:13" ht="15.75">
      <c r="A98" s="5" t="s">
        <v>19</v>
      </c>
      <c r="B98" s="13"/>
      <c r="C98" s="13"/>
      <c r="D98" s="13"/>
      <c r="E98" s="13"/>
      <c r="F98" s="13"/>
      <c r="G98" s="13"/>
      <c r="H98" s="13"/>
      <c r="I98" s="13"/>
      <c r="J98" s="13"/>
      <c r="K98" s="13"/>
      <c r="L98" s="13"/>
      <c r="M98" s="13"/>
    </row>
    <row r="99" spans="1:13" ht="15.75">
      <c r="A99" s="5" t="s">
        <v>20</v>
      </c>
      <c r="B99" s="6" t="s">
        <v>21</v>
      </c>
      <c r="C99" s="6" t="s">
        <v>18</v>
      </c>
      <c r="D99" s="6" t="s">
        <v>22</v>
      </c>
      <c r="E99" s="6" t="s">
        <v>7</v>
      </c>
      <c r="F99" s="6" t="s">
        <v>13</v>
      </c>
      <c r="G99" s="6" t="s">
        <v>16</v>
      </c>
      <c r="H99" s="6" t="s">
        <v>23</v>
      </c>
      <c r="I99" s="6" t="s">
        <v>24</v>
      </c>
      <c r="J99" s="6" t="s">
        <v>25</v>
      </c>
      <c r="K99" s="6" t="s">
        <v>26</v>
      </c>
      <c r="L99" s="6" t="s">
        <v>27</v>
      </c>
      <c r="M99" s="6" t="s">
        <v>28</v>
      </c>
    </row>
    <row r="100" spans="1:13" ht="15.75">
      <c r="A100" s="7" t="s">
        <v>1503</v>
      </c>
      <c r="B100" s="13">
        <v>1</v>
      </c>
      <c r="C100" s="13" t="s">
        <v>18</v>
      </c>
      <c r="D100" s="8" t="s">
        <v>2</v>
      </c>
      <c r="E100" s="13" t="s">
        <v>29</v>
      </c>
      <c r="F100" s="15" t="s">
        <v>14</v>
      </c>
      <c r="G100" s="13" t="s">
        <v>30</v>
      </c>
      <c r="H100" s="13">
        <v>1</v>
      </c>
      <c r="I100" s="13">
        <v>1</v>
      </c>
      <c r="J100" s="13" t="s">
        <v>31</v>
      </c>
      <c r="K100" s="13" t="s">
        <v>31</v>
      </c>
      <c r="L100" s="13" t="s">
        <v>31</v>
      </c>
      <c r="M100" s="13" t="s">
        <v>31</v>
      </c>
    </row>
    <row r="101" spans="1:13" ht="15.75">
      <c r="A101" s="7" t="s">
        <v>238</v>
      </c>
      <c r="B101" s="13">
        <v>50.944465229768198</v>
      </c>
      <c r="C101" s="13" t="s">
        <v>37</v>
      </c>
      <c r="D101" s="8" t="s">
        <v>40</v>
      </c>
      <c r="E101" s="13" t="s">
        <v>29</v>
      </c>
      <c r="F101" s="15" t="s">
        <v>58</v>
      </c>
      <c r="G101" s="13" t="s">
        <v>33</v>
      </c>
      <c r="H101" s="13">
        <v>2</v>
      </c>
      <c r="I101" s="13">
        <f>LN(B101)</f>
        <v>3.9307361223600288</v>
      </c>
      <c r="J101" s="13">
        <v>0.24083189157584584</v>
      </c>
      <c r="K101" s="13" t="s">
        <v>31</v>
      </c>
      <c r="L101" s="13" t="s">
        <v>31</v>
      </c>
      <c r="M101" s="13" t="s">
        <v>31</v>
      </c>
    </row>
    <row r="102" spans="1:13" ht="15.75">
      <c r="A102" s="7" t="s">
        <v>161</v>
      </c>
      <c r="B102" s="13">
        <v>931.83445302968687</v>
      </c>
      <c r="C102" s="13" t="s">
        <v>37</v>
      </c>
      <c r="D102" s="8" t="s">
        <v>40</v>
      </c>
      <c r="E102" s="13" t="s">
        <v>29</v>
      </c>
      <c r="F102" s="15" t="s">
        <v>58</v>
      </c>
      <c r="G102" s="13" t="s">
        <v>33</v>
      </c>
      <c r="H102" s="13">
        <v>2</v>
      </c>
      <c r="I102" s="13">
        <f>LN(B102)</f>
        <v>6.8371551734036853</v>
      </c>
      <c r="J102" s="13">
        <v>0.24083189157584584</v>
      </c>
      <c r="K102" s="13" t="s">
        <v>31</v>
      </c>
      <c r="L102" s="13" t="s">
        <v>31</v>
      </c>
      <c r="M102" s="13" t="s">
        <v>31</v>
      </c>
    </row>
    <row r="103" spans="1:13" ht="15.75">
      <c r="A103" s="7" t="s">
        <v>253</v>
      </c>
      <c r="B103" s="13">
        <v>8.4766165107767382</v>
      </c>
      <c r="C103" s="13" t="s">
        <v>37</v>
      </c>
      <c r="D103" s="8" t="s">
        <v>40</v>
      </c>
      <c r="E103" s="13" t="s">
        <v>29</v>
      </c>
      <c r="F103" s="15" t="s">
        <v>58</v>
      </c>
      <c r="G103" s="13" t="s">
        <v>33</v>
      </c>
      <c r="H103" s="13">
        <v>2</v>
      </c>
      <c r="I103" s="13">
        <f t="shared" ref="I103:I104" si="4">LN(B103)</f>
        <v>2.1373113738129126</v>
      </c>
      <c r="J103" s="13">
        <v>0.24083189157584584</v>
      </c>
      <c r="K103" s="13" t="s">
        <v>31</v>
      </c>
      <c r="L103" s="13" t="s">
        <v>31</v>
      </c>
      <c r="M103" s="13" t="s">
        <v>31</v>
      </c>
    </row>
    <row r="104" spans="1:13" ht="15.75">
      <c r="A104" s="7" t="s">
        <v>1355</v>
      </c>
      <c r="B104" s="13">
        <v>50.944465229768198</v>
      </c>
      <c r="C104" s="13" t="s">
        <v>37</v>
      </c>
      <c r="D104" s="8" t="s">
        <v>40</v>
      </c>
      <c r="E104" s="13" t="s">
        <v>29</v>
      </c>
      <c r="F104" s="15" t="s">
        <v>58</v>
      </c>
      <c r="G104" s="13" t="s">
        <v>33</v>
      </c>
      <c r="H104" s="13">
        <v>2</v>
      </c>
      <c r="I104" s="13">
        <f t="shared" si="4"/>
        <v>3.9307361223600288</v>
      </c>
      <c r="J104" s="13">
        <v>0.24083189157584584</v>
      </c>
      <c r="K104" s="13" t="s">
        <v>31</v>
      </c>
      <c r="L104" s="13" t="s">
        <v>31</v>
      </c>
      <c r="M104" s="13" t="s">
        <v>31</v>
      </c>
    </row>
    <row r="105" spans="1:13" ht="15.75">
      <c r="A105" s="1" t="s">
        <v>5</v>
      </c>
      <c r="B105" s="2" t="s">
        <v>1504</v>
      </c>
      <c r="C105" s="3"/>
      <c r="D105" s="11"/>
      <c r="E105" s="11"/>
      <c r="F105" s="11"/>
      <c r="G105" s="11"/>
      <c r="H105" s="11"/>
      <c r="I105" s="11"/>
      <c r="J105" s="11"/>
      <c r="K105" s="11"/>
      <c r="L105" s="11"/>
      <c r="M105" s="11"/>
    </row>
    <row r="106" spans="1:13">
      <c r="A106" s="12" t="s">
        <v>7</v>
      </c>
      <c r="B106" s="13" t="s">
        <v>49</v>
      </c>
      <c r="C106" s="4"/>
      <c r="D106" s="13"/>
      <c r="E106" s="13"/>
      <c r="F106" s="13"/>
      <c r="G106" s="13"/>
      <c r="H106" s="13"/>
      <c r="I106" s="13"/>
      <c r="J106" s="13"/>
      <c r="K106" s="13"/>
      <c r="L106" s="13"/>
      <c r="M106" s="13"/>
    </row>
    <row r="107" spans="1:13">
      <c r="A107" s="12" t="s">
        <v>9</v>
      </c>
      <c r="B107" s="13" t="s">
        <v>1517</v>
      </c>
      <c r="C107" s="13"/>
      <c r="D107" s="13"/>
      <c r="E107" s="13"/>
      <c r="F107" s="13"/>
      <c r="G107" s="13"/>
      <c r="H107" s="13"/>
      <c r="I107" s="13"/>
      <c r="J107" s="13"/>
      <c r="K107" s="13"/>
      <c r="L107" s="13"/>
      <c r="M107" s="13"/>
    </row>
    <row r="108" spans="1:13" ht="45">
      <c r="A108" s="12" t="s">
        <v>11</v>
      </c>
      <c r="B108" s="14" t="s">
        <v>1518</v>
      </c>
      <c r="C108" s="13"/>
      <c r="D108" s="13"/>
      <c r="E108" s="13"/>
      <c r="F108" s="13"/>
      <c r="G108" s="13"/>
      <c r="H108" s="13"/>
      <c r="I108" s="13"/>
      <c r="J108" s="13"/>
      <c r="K108" s="13"/>
      <c r="L108" s="13"/>
      <c r="M108" s="13"/>
    </row>
    <row r="109" spans="1:13">
      <c r="A109" s="12" t="s">
        <v>13</v>
      </c>
      <c r="B109" s="13" t="s">
        <v>14</v>
      </c>
      <c r="C109" s="13"/>
      <c r="D109" s="13"/>
      <c r="E109" s="13"/>
      <c r="F109" s="13"/>
      <c r="G109" s="13"/>
      <c r="H109" s="13"/>
      <c r="I109" s="13"/>
      <c r="J109" s="13"/>
      <c r="K109" s="13"/>
      <c r="L109" s="13"/>
      <c r="M109" s="13"/>
    </row>
    <row r="110" spans="1:13">
      <c r="A110" s="12" t="s">
        <v>15</v>
      </c>
      <c r="B110" s="13">
        <v>1</v>
      </c>
      <c r="C110" s="13"/>
      <c r="D110" s="13"/>
      <c r="E110" s="13"/>
      <c r="F110" s="13"/>
      <c r="G110" s="13"/>
      <c r="H110" s="13"/>
      <c r="I110" s="13"/>
      <c r="J110" s="13"/>
      <c r="K110" s="13"/>
      <c r="L110" s="13"/>
      <c r="M110" s="13"/>
    </row>
    <row r="111" spans="1:13">
      <c r="A111" s="12" t="s">
        <v>16</v>
      </c>
      <c r="B111" s="13" t="s">
        <v>17</v>
      </c>
      <c r="C111" s="13"/>
      <c r="D111" s="13"/>
      <c r="E111" s="13"/>
      <c r="F111" s="13"/>
      <c r="G111" s="13"/>
      <c r="H111" s="13"/>
      <c r="I111" s="13"/>
      <c r="J111" s="13"/>
      <c r="K111" s="13"/>
      <c r="L111" s="13"/>
      <c r="M111" s="13"/>
    </row>
    <row r="112" spans="1:13">
      <c r="A112" s="12" t="s">
        <v>18</v>
      </c>
      <c r="B112" s="13" t="s">
        <v>18</v>
      </c>
      <c r="C112" s="13"/>
      <c r="D112" s="13"/>
      <c r="E112" s="13"/>
      <c r="F112" s="13"/>
      <c r="G112" s="13"/>
      <c r="H112" s="13"/>
      <c r="I112" s="13"/>
      <c r="J112" s="13"/>
      <c r="K112" s="13"/>
      <c r="L112" s="13"/>
      <c r="M112" s="13"/>
    </row>
    <row r="113" spans="1:13" ht="15.75">
      <c r="A113" s="5" t="s">
        <v>19</v>
      </c>
      <c r="B113" s="13"/>
      <c r="C113" s="13"/>
      <c r="D113" s="13"/>
      <c r="E113" s="13"/>
      <c r="F113" s="13"/>
      <c r="G113" s="13"/>
      <c r="H113" s="13"/>
      <c r="I113" s="13"/>
      <c r="J113" s="13"/>
      <c r="K113" s="13"/>
      <c r="L113" s="13"/>
      <c r="M113" s="13"/>
    </row>
    <row r="114" spans="1:13" ht="15.75">
      <c r="A114" s="5" t="s">
        <v>20</v>
      </c>
      <c r="B114" s="6" t="s">
        <v>21</v>
      </c>
      <c r="C114" s="6" t="s">
        <v>18</v>
      </c>
      <c r="D114" s="6" t="s">
        <v>22</v>
      </c>
      <c r="E114" s="6" t="s">
        <v>7</v>
      </c>
      <c r="F114" s="6" t="s">
        <v>13</v>
      </c>
      <c r="G114" s="6" t="s">
        <v>16</v>
      </c>
      <c r="H114" s="6" t="s">
        <v>23</v>
      </c>
      <c r="I114" s="6" t="s">
        <v>24</v>
      </c>
      <c r="J114" s="6" t="s">
        <v>25</v>
      </c>
      <c r="K114" s="6" t="s">
        <v>26</v>
      </c>
      <c r="L114" s="6" t="s">
        <v>27</v>
      </c>
      <c r="M114" s="6" t="s">
        <v>28</v>
      </c>
    </row>
    <row r="115" spans="1:13" ht="15.75">
      <c r="A115" s="7" t="s">
        <v>1504</v>
      </c>
      <c r="B115" s="13">
        <v>1</v>
      </c>
      <c r="C115" s="13" t="s">
        <v>18</v>
      </c>
      <c r="D115" s="8" t="s">
        <v>2</v>
      </c>
      <c r="E115" s="13" t="s">
        <v>29</v>
      </c>
      <c r="F115" s="15" t="s">
        <v>14</v>
      </c>
      <c r="G115" s="13" t="s">
        <v>30</v>
      </c>
      <c r="H115" s="13">
        <v>1</v>
      </c>
      <c r="I115" s="13">
        <v>1</v>
      </c>
      <c r="J115" s="13" t="s">
        <v>31</v>
      </c>
      <c r="K115" s="13" t="s">
        <v>31</v>
      </c>
      <c r="L115" s="13" t="s">
        <v>31</v>
      </c>
      <c r="M115" s="13" t="s">
        <v>31</v>
      </c>
    </row>
    <row r="116" spans="1:13" ht="15.75">
      <c r="A116" s="7" t="s">
        <v>238</v>
      </c>
      <c r="B116" s="13">
        <v>10.051567656765682</v>
      </c>
      <c r="C116" s="13" t="s">
        <v>37</v>
      </c>
      <c r="D116" s="8" t="s">
        <v>40</v>
      </c>
      <c r="E116" s="13" t="s">
        <v>29</v>
      </c>
      <c r="F116" s="15" t="s">
        <v>58</v>
      </c>
      <c r="G116" s="13" t="s">
        <v>33</v>
      </c>
      <c r="H116" s="13">
        <v>2</v>
      </c>
      <c r="I116" s="13">
        <f>LN(B116)</f>
        <v>2.3077286080884019</v>
      </c>
      <c r="J116" s="13">
        <v>0.24083189157584584</v>
      </c>
      <c r="K116" s="13" t="s">
        <v>31</v>
      </c>
      <c r="L116" s="13" t="s">
        <v>31</v>
      </c>
      <c r="M116" s="13" t="s">
        <v>31</v>
      </c>
    </row>
    <row r="117" spans="1:13" ht="15.75">
      <c r="A117" s="7" t="s">
        <v>161</v>
      </c>
      <c r="B117" s="13">
        <v>186.4108910891089</v>
      </c>
      <c r="C117" s="13" t="s">
        <v>37</v>
      </c>
      <c r="D117" s="8" t="s">
        <v>40</v>
      </c>
      <c r="E117" s="13" t="s">
        <v>29</v>
      </c>
      <c r="F117" s="15" t="s">
        <v>58</v>
      </c>
      <c r="G117" s="13" t="s">
        <v>33</v>
      </c>
      <c r="H117" s="13">
        <v>2</v>
      </c>
      <c r="I117" s="13">
        <f>LN(B117)</f>
        <v>5.2279533291342473</v>
      </c>
      <c r="J117" s="13">
        <v>0.24083189157584584</v>
      </c>
      <c r="K117" s="13" t="s">
        <v>31</v>
      </c>
      <c r="L117" s="13" t="s">
        <v>31</v>
      </c>
      <c r="M117" s="13" t="s">
        <v>31</v>
      </c>
    </row>
    <row r="118" spans="1:13" ht="15.75">
      <c r="A118" s="7" t="s">
        <v>253</v>
      </c>
      <c r="B118" s="13">
        <v>14.985973597359736</v>
      </c>
      <c r="C118" s="13" t="s">
        <v>37</v>
      </c>
      <c r="D118" s="8" t="s">
        <v>40</v>
      </c>
      <c r="E118" s="13" t="s">
        <v>29</v>
      </c>
      <c r="F118" s="15" t="s">
        <v>58</v>
      </c>
      <c r="G118" s="13" t="s">
        <v>33</v>
      </c>
      <c r="H118" s="13">
        <v>2</v>
      </c>
      <c r="I118" s="13">
        <f t="shared" ref="I118:I119" si="5">LN(B118)</f>
        <v>2.7071146701201836</v>
      </c>
      <c r="J118" s="13">
        <v>0.24083189157584584</v>
      </c>
      <c r="K118" s="13" t="s">
        <v>31</v>
      </c>
      <c r="L118" s="13" t="s">
        <v>31</v>
      </c>
      <c r="M118" s="13" t="s">
        <v>31</v>
      </c>
    </row>
    <row r="119" spans="1:13" ht="15.75">
      <c r="A119" s="7" t="s">
        <v>1355</v>
      </c>
      <c r="B119" s="13">
        <v>10.051567656765677</v>
      </c>
      <c r="C119" s="13" t="s">
        <v>37</v>
      </c>
      <c r="D119" s="8" t="s">
        <v>40</v>
      </c>
      <c r="E119" s="13" t="s">
        <v>29</v>
      </c>
      <c r="F119" s="15" t="s">
        <v>58</v>
      </c>
      <c r="G119" s="13" t="s">
        <v>33</v>
      </c>
      <c r="H119" s="13">
        <v>2</v>
      </c>
      <c r="I119" s="13">
        <f t="shared" si="5"/>
        <v>2.3077286080884014</v>
      </c>
      <c r="J119" s="13">
        <v>0.24083189157584584</v>
      </c>
      <c r="K119" s="13" t="s">
        <v>31</v>
      </c>
      <c r="L119" s="13" t="s">
        <v>31</v>
      </c>
      <c r="M119" s="13" t="s">
        <v>31</v>
      </c>
    </row>
  </sheetData>
  <pageMargins left="0.7" right="0.7" top="0.75" bottom="0.75" header="0.3" footer="0.3"/>
  <pageSetup paperSize="9" orientation="portrait" verticalDpi="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topLeftCell="A123" zoomScale="70" zoomScaleNormal="70" workbookViewId="0">
      <selection activeCell="A123" sqref="A123"/>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54</v>
      </c>
      <c r="C2" s="3"/>
      <c r="D2" s="11"/>
      <c r="E2" s="11"/>
      <c r="F2" s="11"/>
      <c r="G2" s="11"/>
      <c r="H2" s="11"/>
      <c r="I2" s="11"/>
      <c r="J2" s="11"/>
      <c r="K2" s="11"/>
      <c r="L2" s="11"/>
      <c r="M2" s="11"/>
    </row>
    <row r="3" spans="1:13">
      <c r="A3" s="12" t="s">
        <v>7</v>
      </c>
      <c r="B3" s="13" t="s">
        <v>1496</v>
      </c>
      <c r="C3" s="4"/>
      <c r="D3" s="13"/>
      <c r="E3" s="13"/>
      <c r="F3" s="13"/>
      <c r="G3" s="13"/>
      <c r="H3" s="13"/>
      <c r="I3" s="13"/>
      <c r="J3" s="13"/>
      <c r="K3" s="13"/>
      <c r="L3" s="13"/>
      <c r="M3" s="13"/>
    </row>
    <row r="4" spans="1:13">
      <c r="A4" s="12" t="s">
        <v>9</v>
      </c>
      <c r="B4" s="13" t="s">
        <v>1519</v>
      </c>
      <c r="C4" s="4"/>
      <c r="D4" s="13"/>
      <c r="E4" s="13"/>
      <c r="F4" s="13"/>
      <c r="G4" s="13"/>
      <c r="H4" s="13"/>
      <c r="I4" s="13"/>
      <c r="J4" s="13"/>
      <c r="K4" s="13"/>
      <c r="L4" s="13"/>
      <c r="M4" s="13"/>
    </row>
    <row r="5" spans="1:13" ht="30">
      <c r="A5" s="12" t="s">
        <v>11</v>
      </c>
      <c r="B5" s="14" t="s">
        <v>1520</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54</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1521</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1522</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1523</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1524</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1525</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1521</v>
      </c>
      <c r="C18" s="3"/>
      <c r="D18" s="11"/>
      <c r="E18" s="11"/>
      <c r="F18" s="11"/>
      <c r="G18" s="11"/>
      <c r="H18" s="11"/>
      <c r="I18" s="11"/>
      <c r="J18" s="11"/>
      <c r="K18" s="11"/>
      <c r="L18" s="11"/>
      <c r="M18" s="11"/>
    </row>
    <row r="19" spans="1:13">
      <c r="A19" s="12" t="s">
        <v>7</v>
      </c>
      <c r="B19" s="13" t="s">
        <v>1526</v>
      </c>
      <c r="C19" s="4"/>
      <c r="D19" s="13"/>
      <c r="E19" s="13"/>
      <c r="F19" s="13"/>
      <c r="G19" s="13"/>
      <c r="H19" s="13"/>
      <c r="I19" s="13"/>
      <c r="J19" s="13"/>
      <c r="K19" s="13"/>
      <c r="L19" s="13"/>
      <c r="M19" s="13"/>
    </row>
    <row r="20" spans="1:13">
      <c r="A20" s="12" t="s">
        <v>9</v>
      </c>
      <c r="B20" s="13" t="s">
        <v>1527</v>
      </c>
      <c r="C20" s="4"/>
      <c r="D20" s="13"/>
      <c r="E20" s="13"/>
      <c r="F20" s="13"/>
      <c r="G20" s="13"/>
      <c r="H20" s="13"/>
      <c r="I20" s="13"/>
      <c r="J20" s="13"/>
      <c r="K20" s="13"/>
      <c r="L20" s="13"/>
      <c r="M20" s="13"/>
    </row>
    <row r="21" spans="1:13" ht="30">
      <c r="A21" s="12" t="s">
        <v>11</v>
      </c>
      <c r="B21" s="14" t="s">
        <v>1528</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1521</v>
      </c>
      <c r="B28" s="13">
        <v>1</v>
      </c>
      <c r="C28" s="13" t="s">
        <v>18</v>
      </c>
      <c r="D28" s="13" t="s">
        <v>2</v>
      </c>
      <c r="E28" s="13" t="s">
        <v>29</v>
      </c>
      <c r="F28" s="13" t="s">
        <v>14</v>
      </c>
      <c r="G28" s="13" t="s">
        <v>30</v>
      </c>
      <c r="H28" s="13">
        <v>1</v>
      </c>
      <c r="I28" s="13">
        <v>1</v>
      </c>
      <c r="J28" s="13" t="s">
        <v>31</v>
      </c>
      <c r="K28" s="13" t="s">
        <v>31</v>
      </c>
      <c r="L28" s="13" t="s">
        <v>31</v>
      </c>
      <c r="M28" s="13" t="s">
        <v>31</v>
      </c>
    </row>
    <row r="29" spans="1:13">
      <c r="A29" s="12" t="s">
        <v>161</v>
      </c>
      <c r="B29" s="13">
        <v>352.31400000000002</v>
      </c>
      <c r="C29" s="13" t="s">
        <v>37</v>
      </c>
      <c r="D29" s="13" t="s">
        <v>40</v>
      </c>
      <c r="E29" s="13" t="s">
        <v>29</v>
      </c>
      <c r="F29" s="13" t="s">
        <v>58</v>
      </c>
      <c r="G29" s="13" t="s">
        <v>33</v>
      </c>
      <c r="H29" s="13">
        <v>2</v>
      </c>
      <c r="I29" s="13">
        <f>LN(B29)</f>
        <v>5.8645228234165518</v>
      </c>
      <c r="J29" s="13">
        <v>0.24083189157584584</v>
      </c>
      <c r="K29" s="13" t="s">
        <v>31</v>
      </c>
      <c r="L29" s="13" t="s">
        <v>31</v>
      </c>
      <c r="M29" s="13" t="s">
        <v>31</v>
      </c>
    </row>
    <row r="30" spans="1:13">
      <c r="A30" s="12" t="s">
        <v>238</v>
      </c>
      <c r="B30" s="13">
        <v>91.907999999999987</v>
      </c>
      <c r="C30" s="13" t="s">
        <v>37</v>
      </c>
      <c r="D30" s="13" t="s">
        <v>40</v>
      </c>
      <c r="E30" s="13" t="s">
        <v>29</v>
      </c>
      <c r="F30" s="13" t="s">
        <v>58</v>
      </c>
      <c r="G30" s="13" t="s">
        <v>33</v>
      </c>
      <c r="H30" s="13">
        <v>2</v>
      </c>
      <c r="I30" s="13">
        <f t="shared" ref="I30:I32" si="0">LN(B30)</f>
        <v>4.5207880767154567</v>
      </c>
      <c r="J30" s="13">
        <v>0.24083189157584584</v>
      </c>
      <c r="K30" s="13" t="s">
        <v>31</v>
      </c>
      <c r="L30" s="13" t="s">
        <v>31</v>
      </c>
      <c r="M30" s="13" t="s">
        <v>31</v>
      </c>
    </row>
    <row r="31" spans="1:13">
      <c r="A31" s="12" t="s">
        <v>342</v>
      </c>
      <c r="B31" s="13">
        <v>145.52099999999999</v>
      </c>
      <c r="C31" s="13" t="s">
        <v>37</v>
      </c>
      <c r="D31" s="13" t="s">
        <v>40</v>
      </c>
      <c r="E31" s="13" t="s">
        <v>29</v>
      </c>
      <c r="F31" s="13" t="s">
        <v>58</v>
      </c>
      <c r="G31" s="13" t="s">
        <v>33</v>
      </c>
      <c r="H31" s="13">
        <v>2</v>
      </c>
      <c r="I31" s="13">
        <f t="shared" si="0"/>
        <v>4.980320406093897</v>
      </c>
      <c r="J31" s="13">
        <v>0.24083189157584584</v>
      </c>
      <c r="K31" s="13" t="s">
        <v>31</v>
      </c>
      <c r="L31" s="13" t="s">
        <v>31</v>
      </c>
      <c r="M31" s="13" t="s">
        <v>31</v>
      </c>
    </row>
    <row r="32" spans="1:13">
      <c r="A32" s="12" t="s">
        <v>334</v>
      </c>
      <c r="B32" s="13">
        <v>176.15700000000001</v>
      </c>
      <c r="C32" s="13" t="s">
        <v>37</v>
      </c>
      <c r="D32" s="13" t="s">
        <v>40</v>
      </c>
      <c r="E32" s="13" t="s">
        <v>29</v>
      </c>
      <c r="F32" s="13" t="s">
        <v>58</v>
      </c>
      <c r="G32" s="13" t="s">
        <v>33</v>
      </c>
      <c r="H32" s="13">
        <v>2</v>
      </c>
      <c r="I32" s="13">
        <f t="shared" si="0"/>
        <v>5.1713756428566064</v>
      </c>
      <c r="J32" s="13">
        <v>0.24083189157584584</v>
      </c>
      <c r="K32" s="13" t="s">
        <v>31</v>
      </c>
      <c r="L32" s="13" t="s">
        <v>31</v>
      </c>
      <c r="M32" s="13" t="s">
        <v>31</v>
      </c>
    </row>
    <row r="33" spans="1:13">
      <c r="A33" s="18" t="s">
        <v>5</v>
      </c>
      <c r="B33" s="19" t="s">
        <v>1522</v>
      </c>
      <c r="C33" s="3"/>
      <c r="D33" s="11"/>
      <c r="E33" s="11"/>
      <c r="F33" s="11"/>
      <c r="G33" s="11"/>
      <c r="H33" s="11"/>
      <c r="I33" s="11"/>
      <c r="J33" s="11"/>
      <c r="K33" s="11"/>
      <c r="L33" s="11"/>
      <c r="M33" s="11"/>
    </row>
    <row r="34" spans="1:13">
      <c r="A34" s="12" t="s">
        <v>7</v>
      </c>
      <c r="B34" s="13" t="s">
        <v>1526</v>
      </c>
      <c r="C34" s="4"/>
      <c r="D34" s="13"/>
      <c r="E34" s="13"/>
      <c r="F34" s="13"/>
      <c r="G34" s="13"/>
      <c r="H34" s="13"/>
      <c r="I34" s="13"/>
      <c r="J34" s="13"/>
      <c r="K34" s="13"/>
      <c r="L34" s="13"/>
      <c r="M34" s="13"/>
    </row>
    <row r="35" spans="1:13">
      <c r="A35" s="12" t="s">
        <v>9</v>
      </c>
      <c r="B35" s="13" t="s">
        <v>1529</v>
      </c>
      <c r="C35" s="4"/>
      <c r="D35" s="13"/>
      <c r="E35" s="13"/>
      <c r="F35" s="13"/>
      <c r="G35" s="13"/>
      <c r="H35" s="13"/>
      <c r="I35" s="13"/>
      <c r="J35" s="13"/>
      <c r="K35" s="13"/>
      <c r="L35" s="13"/>
      <c r="M35" s="13"/>
    </row>
    <row r="36" spans="1:13" ht="30">
      <c r="A36" s="12" t="s">
        <v>11</v>
      </c>
      <c r="B36" s="14" t="s">
        <v>1530</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1522</v>
      </c>
      <c r="B43" s="13">
        <v>1</v>
      </c>
      <c r="C43" s="13" t="s">
        <v>18</v>
      </c>
      <c r="D43" s="13" t="s">
        <v>2</v>
      </c>
      <c r="E43" s="13" t="s">
        <v>29</v>
      </c>
      <c r="F43" s="13" t="s">
        <v>14</v>
      </c>
      <c r="G43" s="13" t="s">
        <v>30</v>
      </c>
      <c r="H43" s="13">
        <v>1</v>
      </c>
      <c r="I43" s="13">
        <v>1</v>
      </c>
      <c r="J43" s="13" t="s">
        <v>31</v>
      </c>
      <c r="K43" s="13" t="s">
        <v>31</v>
      </c>
      <c r="L43" s="13" t="s">
        <v>31</v>
      </c>
      <c r="M43" s="13" t="s">
        <v>31</v>
      </c>
    </row>
    <row r="44" spans="1:13">
      <c r="A44" s="12" t="s">
        <v>618</v>
      </c>
      <c r="B44" s="13">
        <v>1024.2</v>
      </c>
      <c r="C44" s="13" t="s">
        <v>37</v>
      </c>
      <c r="D44" s="13" t="s">
        <v>40</v>
      </c>
      <c r="E44" s="13" t="s">
        <v>29</v>
      </c>
      <c r="F44" s="13" t="s">
        <v>58</v>
      </c>
      <c r="G44" s="13" t="s">
        <v>33</v>
      </c>
      <c r="H44" s="13">
        <v>2</v>
      </c>
      <c r="I44" s="13">
        <f>LN(B44)</f>
        <v>6.9316670990284504</v>
      </c>
      <c r="J44" s="13">
        <v>0.24083189157584584</v>
      </c>
      <c r="K44" s="13" t="s">
        <v>31</v>
      </c>
      <c r="L44" s="13" t="s">
        <v>31</v>
      </c>
      <c r="M44" s="13" t="s">
        <v>31</v>
      </c>
    </row>
    <row r="45" spans="1:13">
      <c r="A45" s="18" t="s">
        <v>5</v>
      </c>
      <c r="B45" s="19" t="s">
        <v>1523</v>
      </c>
      <c r="C45" s="3"/>
      <c r="D45" s="11"/>
      <c r="E45" s="11"/>
      <c r="F45" s="11"/>
      <c r="G45" s="11"/>
      <c r="H45" s="11"/>
      <c r="I45" s="11"/>
      <c r="J45" s="11"/>
      <c r="K45" s="11"/>
      <c r="L45" s="11"/>
      <c r="M45" s="11"/>
    </row>
    <row r="46" spans="1:13">
      <c r="A46" s="12" t="s">
        <v>7</v>
      </c>
      <c r="B46" s="13" t="s">
        <v>1526</v>
      </c>
      <c r="C46" s="4"/>
      <c r="D46" s="13"/>
      <c r="E46" s="13"/>
      <c r="F46" s="13"/>
      <c r="G46" s="13"/>
      <c r="H46" s="13"/>
      <c r="I46" s="13"/>
      <c r="J46" s="13"/>
      <c r="K46" s="13"/>
      <c r="L46" s="13"/>
      <c r="M46" s="13"/>
    </row>
    <row r="47" spans="1:13">
      <c r="A47" s="12" t="s">
        <v>9</v>
      </c>
      <c r="B47" s="13" t="s">
        <v>1531</v>
      </c>
      <c r="C47" s="4"/>
      <c r="D47" s="13"/>
      <c r="E47" s="13"/>
      <c r="F47" s="13"/>
      <c r="G47" s="13"/>
      <c r="H47" s="13"/>
      <c r="I47" s="13"/>
      <c r="J47" s="13"/>
      <c r="K47" s="13"/>
      <c r="L47" s="13"/>
      <c r="M47" s="13"/>
    </row>
    <row r="48" spans="1:13" ht="30">
      <c r="A48" s="12" t="s">
        <v>11</v>
      </c>
      <c r="B48" s="14" t="s">
        <v>1532</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1523</v>
      </c>
      <c r="B55" s="13">
        <v>1</v>
      </c>
      <c r="C55" s="13" t="s">
        <v>18</v>
      </c>
      <c r="D55" s="13" t="s">
        <v>2</v>
      </c>
      <c r="E55" s="13" t="s">
        <v>29</v>
      </c>
      <c r="F55" s="13" t="s">
        <v>14</v>
      </c>
      <c r="G55" s="13" t="s">
        <v>30</v>
      </c>
      <c r="H55" s="13">
        <v>1</v>
      </c>
      <c r="I55" s="13">
        <v>1</v>
      </c>
      <c r="J55" s="13" t="s">
        <v>31</v>
      </c>
      <c r="K55" s="13" t="s">
        <v>31</v>
      </c>
      <c r="L55" s="13" t="s">
        <v>31</v>
      </c>
      <c r="M55" s="13" t="s">
        <v>31</v>
      </c>
    </row>
    <row r="56" spans="1:13">
      <c r="A56" s="12" t="s">
        <v>1533</v>
      </c>
      <c r="B56" s="13">
        <v>1</v>
      </c>
      <c r="C56" s="13" t="s">
        <v>18</v>
      </c>
      <c r="D56" s="13" t="s">
        <v>2</v>
      </c>
      <c r="E56" s="13" t="s">
        <v>29</v>
      </c>
      <c r="F56" s="13" t="s">
        <v>14</v>
      </c>
      <c r="G56" s="13" t="s">
        <v>33</v>
      </c>
      <c r="H56" s="13">
        <v>1</v>
      </c>
      <c r="I56" s="13">
        <v>1</v>
      </c>
      <c r="J56" s="13" t="s">
        <v>31</v>
      </c>
      <c r="K56" s="13" t="s">
        <v>31</v>
      </c>
      <c r="L56" s="13" t="s">
        <v>31</v>
      </c>
      <c r="M56" s="13" t="s">
        <v>31</v>
      </c>
    </row>
    <row r="57" spans="1:13">
      <c r="A57" s="12" t="s">
        <v>1534</v>
      </c>
      <c r="B57" s="13">
        <v>1</v>
      </c>
      <c r="C57" s="13" t="s">
        <v>18</v>
      </c>
      <c r="D57" s="13" t="s">
        <v>2</v>
      </c>
      <c r="E57" s="13" t="s">
        <v>29</v>
      </c>
      <c r="F57" s="13" t="s">
        <v>14</v>
      </c>
      <c r="G57" s="13" t="s">
        <v>33</v>
      </c>
      <c r="H57" s="13">
        <v>1</v>
      </c>
      <c r="I57" s="13">
        <v>1</v>
      </c>
      <c r="J57" s="13" t="s">
        <v>31</v>
      </c>
      <c r="K57" s="13" t="s">
        <v>31</v>
      </c>
      <c r="L57" s="13" t="s">
        <v>31</v>
      </c>
      <c r="M57" s="13" t="s">
        <v>31</v>
      </c>
    </row>
    <row r="58" spans="1:13">
      <c r="A58" s="12" t="s">
        <v>1535</v>
      </c>
      <c r="B58" s="13">
        <v>1</v>
      </c>
      <c r="C58" s="13" t="s">
        <v>18</v>
      </c>
      <c r="D58" s="13" t="s">
        <v>2</v>
      </c>
      <c r="E58" s="13" t="s">
        <v>29</v>
      </c>
      <c r="F58" s="13" t="s">
        <v>14</v>
      </c>
      <c r="G58" s="13" t="s">
        <v>33</v>
      </c>
      <c r="H58" s="13">
        <v>1</v>
      </c>
      <c r="I58" s="13">
        <v>1</v>
      </c>
      <c r="J58" s="13" t="s">
        <v>31</v>
      </c>
      <c r="K58" s="13" t="s">
        <v>31</v>
      </c>
      <c r="L58" s="13" t="s">
        <v>31</v>
      </c>
      <c r="M58" s="13" t="s">
        <v>31</v>
      </c>
    </row>
    <row r="59" spans="1:13">
      <c r="A59" s="12" t="s">
        <v>1536</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1533</v>
      </c>
      <c r="C60" s="3"/>
      <c r="D60" s="11"/>
      <c r="E60" s="11"/>
      <c r="F60" s="11"/>
      <c r="G60" s="11"/>
      <c r="H60" s="11"/>
      <c r="I60" s="11"/>
      <c r="J60" s="11"/>
      <c r="K60" s="11"/>
      <c r="L60" s="11"/>
      <c r="M60" s="11"/>
    </row>
    <row r="61" spans="1:13">
      <c r="A61" s="12" t="s">
        <v>7</v>
      </c>
      <c r="B61" s="13" t="s">
        <v>1537</v>
      </c>
      <c r="C61" s="4"/>
      <c r="D61" s="13"/>
      <c r="E61" s="13"/>
      <c r="F61" s="13"/>
      <c r="G61" s="13"/>
      <c r="H61" s="13"/>
      <c r="I61" s="13"/>
      <c r="J61" s="13"/>
      <c r="K61" s="13"/>
      <c r="L61" s="13"/>
      <c r="M61" s="13"/>
    </row>
    <row r="62" spans="1:13">
      <c r="A62" s="12" t="s">
        <v>9</v>
      </c>
      <c r="B62" s="13" t="s">
        <v>1538</v>
      </c>
      <c r="C62" s="4"/>
      <c r="D62" s="13"/>
      <c r="E62" s="13"/>
      <c r="F62" s="13"/>
      <c r="G62" s="13"/>
      <c r="H62" s="13"/>
      <c r="I62" s="13"/>
      <c r="J62" s="13"/>
      <c r="K62" s="13"/>
      <c r="L62" s="13"/>
      <c r="M62" s="13"/>
    </row>
    <row r="63" spans="1:13" ht="30">
      <c r="A63" s="12" t="s">
        <v>11</v>
      </c>
      <c r="B63" s="14" t="s">
        <v>1539</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1533</v>
      </c>
      <c r="B70" s="13">
        <v>1</v>
      </c>
      <c r="C70" s="13" t="s">
        <v>18</v>
      </c>
      <c r="D70" s="13" t="s">
        <v>2</v>
      </c>
      <c r="E70" s="13" t="s">
        <v>29</v>
      </c>
      <c r="F70" s="13" t="s">
        <v>14</v>
      </c>
      <c r="G70" s="13" t="s">
        <v>30</v>
      </c>
      <c r="H70" s="13">
        <v>1</v>
      </c>
      <c r="I70" s="13">
        <v>1</v>
      </c>
      <c r="J70" s="13" t="s">
        <v>31</v>
      </c>
      <c r="K70" s="13" t="s">
        <v>31</v>
      </c>
      <c r="L70" s="13" t="s">
        <v>31</v>
      </c>
      <c r="M70" s="13" t="s">
        <v>31</v>
      </c>
    </row>
    <row r="71" spans="1:13">
      <c r="A71" s="12" t="s">
        <v>235</v>
      </c>
      <c r="B71" s="13">
        <f>141.526*15</f>
        <v>2122.8900000000003</v>
      </c>
      <c r="C71" s="13" t="s">
        <v>37</v>
      </c>
      <c r="D71" s="13" t="s">
        <v>40</v>
      </c>
      <c r="E71" s="13" t="s">
        <v>29</v>
      </c>
      <c r="F71" s="13" t="s">
        <v>58</v>
      </c>
      <c r="G71" s="13" t="s">
        <v>33</v>
      </c>
      <c r="H71" s="13">
        <v>2</v>
      </c>
      <c r="I71" s="13">
        <f>LN(B71)</f>
        <v>7.6605336468893892</v>
      </c>
      <c r="J71" s="13">
        <v>0.30331501776206199</v>
      </c>
      <c r="K71" s="13" t="s">
        <v>31</v>
      </c>
      <c r="L71" s="13" t="s">
        <v>31</v>
      </c>
      <c r="M71" s="13" t="s">
        <v>31</v>
      </c>
    </row>
    <row r="72" spans="1:13">
      <c r="A72" s="12" t="s">
        <v>240</v>
      </c>
      <c r="B72" s="13">
        <f>141.526*14</f>
        <v>1981.364</v>
      </c>
      <c r="C72" s="13" t="s">
        <v>37</v>
      </c>
      <c r="D72" s="13" t="s">
        <v>40</v>
      </c>
      <c r="E72" s="13" t="s">
        <v>29</v>
      </c>
      <c r="F72" s="13" t="s">
        <v>128</v>
      </c>
      <c r="G72" s="13" t="s">
        <v>33</v>
      </c>
      <c r="H72" s="13">
        <v>2</v>
      </c>
      <c r="I72" s="13">
        <f>LN(B72)</f>
        <v>7.5915407754024375</v>
      </c>
      <c r="J72" s="13">
        <v>0.30331501776206199</v>
      </c>
      <c r="K72" s="13" t="s">
        <v>31</v>
      </c>
      <c r="L72" s="13" t="s">
        <v>31</v>
      </c>
      <c r="M72" s="13" t="s">
        <v>31</v>
      </c>
    </row>
    <row r="73" spans="1:13">
      <c r="A73" s="12" t="s">
        <v>235</v>
      </c>
      <c r="B73" s="13">
        <f>141.526*14</f>
        <v>1981.364</v>
      </c>
      <c r="C73" s="13" t="s">
        <v>37</v>
      </c>
      <c r="D73" s="13" t="s">
        <v>40</v>
      </c>
      <c r="E73" s="13" t="s">
        <v>29</v>
      </c>
      <c r="F73" s="13" t="s">
        <v>58</v>
      </c>
      <c r="G73" s="13" t="s">
        <v>243</v>
      </c>
      <c r="H73" s="13">
        <v>2</v>
      </c>
      <c r="I73" s="13">
        <f>LN(B73)</f>
        <v>7.5915407754024375</v>
      </c>
      <c r="J73" s="13">
        <v>0.30331501776206199</v>
      </c>
      <c r="K73" s="13" t="s">
        <v>31</v>
      </c>
      <c r="L73" s="13" t="s">
        <v>31</v>
      </c>
      <c r="M73" s="13" t="s">
        <v>31</v>
      </c>
    </row>
    <row r="74" spans="1:13">
      <c r="A74" s="18" t="s">
        <v>5</v>
      </c>
      <c r="B74" s="19" t="s">
        <v>1534</v>
      </c>
      <c r="C74" s="3"/>
      <c r="D74" s="11"/>
      <c r="E74" s="11"/>
      <c r="F74" s="11"/>
      <c r="G74" s="11"/>
      <c r="H74" s="11"/>
      <c r="I74" s="11"/>
      <c r="J74" s="11"/>
      <c r="K74" s="11"/>
      <c r="L74" s="11"/>
      <c r="M74" s="11"/>
    </row>
    <row r="75" spans="1:13">
      <c r="A75" s="12" t="s">
        <v>7</v>
      </c>
      <c r="B75" s="13" t="s">
        <v>1537</v>
      </c>
      <c r="C75" s="4"/>
      <c r="D75" s="13"/>
      <c r="E75" s="13"/>
      <c r="F75" s="13"/>
      <c r="G75" s="13"/>
      <c r="H75" s="13"/>
      <c r="I75" s="13"/>
      <c r="J75" s="13"/>
      <c r="K75" s="13"/>
      <c r="L75" s="13"/>
      <c r="M75" s="13"/>
    </row>
    <row r="76" spans="1:13">
      <c r="A76" s="12" t="s">
        <v>9</v>
      </c>
      <c r="B76" s="13" t="s">
        <v>1540</v>
      </c>
      <c r="C76" s="4"/>
      <c r="D76" s="13"/>
      <c r="E76" s="13"/>
      <c r="F76" s="13"/>
      <c r="G76" s="13"/>
      <c r="H76" s="13"/>
      <c r="I76" s="13"/>
      <c r="J76" s="13"/>
      <c r="K76" s="13"/>
      <c r="L76" s="13"/>
      <c r="M76" s="13"/>
    </row>
    <row r="77" spans="1:13" ht="30">
      <c r="A77" s="12" t="s">
        <v>11</v>
      </c>
      <c r="B77" s="14" t="s">
        <v>1541</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1534</v>
      </c>
      <c r="B84" s="13">
        <v>1</v>
      </c>
      <c r="C84" s="13" t="s">
        <v>18</v>
      </c>
      <c r="D84" s="13" t="s">
        <v>2</v>
      </c>
      <c r="E84" s="13" t="s">
        <v>29</v>
      </c>
      <c r="F84" s="13" t="s">
        <v>14</v>
      </c>
      <c r="G84" s="13" t="s">
        <v>30</v>
      </c>
      <c r="H84" s="13">
        <v>1</v>
      </c>
      <c r="I84" s="13">
        <v>1</v>
      </c>
      <c r="J84" s="13" t="s">
        <v>31</v>
      </c>
      <c r="K84" s="13" t="s">
        <v>31</v>
      </c>
      <c r="L84" s="13" t="s">
        <v>31</v>
      </c>
      <c r="M84" s="13" t="s">
        <v>31</v>
      </c>
    </row>
    <row r="85" spans="1:13">
      <c r="A85" s="12" t="s">
        <v>235</v>
      </c>
      <c r="B85" s="13">
        <f>41.713*15</f>
        <v>625.69500000000005</v>
      </c>
      <c r="C85" s="13" t="s">
        <v>37</v>
      </c>
      <c r="D85" s="13" t="s">
        <v>40</v>
      </c>
      <c r="E85" s="13" t="s">
        <v>29</v>
      </c>
      <c r="F85" s="13" t="s">
        <v>58</v>
      </c>
      <c r="G85" s="13" t="s">
        <v>33</v>
      </c>
      <c r="H85" s="13">
        <v>2</v>
      </c>
      <c r="I85" s="13">
        <f>LN(B85)</f>
        <v>6.4388630319223656</v>
      </c>
      <c r="J85" s="13">
        <v>0.30331501776206199</v>
      </c>
      <c r="K85" s="13" t="s">
        <v>31</v>
      </c>
      <c r="L85" s="13" t="s">
        <v>31</v>
      </c>
      <c r="M85" s="13" t="s">
        <v>31</v>
      </c>
    </row>
    <row r="86" spans="1:13">
      <c r="A86" s="12" t="s">
        <v>240</v>
      </c>
      <c r="B86" s="13">
        <f>41.713*14</f>
        <v>583.98199999999997</v>
      </c>
      <c r="C86" s="13" t="s">
        <v>37</v>
      </c>
      <c r="D86" s="13" t="s">
        <v>40</v>
      </c>
      <c r="E86" s="13" t="s">
        <v>29</v>
      </c>
      <c r="F86" s="13" t="s">
        <v>128</v>
      </c>
      <c r="G86" s="13" t="s">
        <v>33</v>
      </c>
      <c r="H86" s="13">
        <v>2</v>
      </c>
      <c r="I86" s="13">
        <f>LN(B86)</f>
        <v>6.369870160435414</v>
      </c>
      <c r="J86" s="13">
        <v>0.30331501776206199</v>
      </c>
      <c r="K86" s="13" t="s">
        <v>31</v>
      </c>
      <c r="L86" s="13" t="s">
        <v>31</v>
      </c>
      <c r="M86" s="13" t="s">
        <v>31</v>
      </c>
    </row>
    <row r="87" spans="1:13">
      <c r="A87" s="12" t="s">
        <v>235</v>
      </c>
      <c r="B87" s="13">
        <f>41.713*14</f>
        <v>583.98199999999997</v>
      </c>
      <c r="C87" s="13" t="s">
        <v>37</v>
      </c>
      <c r="D87" s="13" t="s">
        <v>40</v>
      </c>
      <c r="E87" s="13" t="s">
        <v>29</v>
      </c>
      <c r="F87" s="13" t="s">
        <v>58</v>
      </c>
      <c r="G87" s="13" t="s">
        <v>243</v>
      </c>
      <c r="H87" s="13">
        <v>2</v>
      </c>
      <c r="I87" s="13">
        <f>LN(B87)</f>
        <v>6.369870160435414</v>
      </c>
      <c r="J87" s="13">
        <v>0.30331501776206199</v>
      </c>
      <c r="K87" s="13" t="s">
        <v>31</v>
      </c>
      <c r="L87" s="13" t="s">
        <v>31</v>
      </c>
      <c r="M87" s="13" t="s">
        <v>31</v>
      </c>
    </row>
    <row r="88" spans="1:13">
      <c r="A88" s="12" t="s">
        <v>1542</v>
      </c>
      <c r="B88" s="13">
        <v>10.428000000000001</v>
      </c>
      <c r="C88" s="13" t="s">
        <v>37</v>
      </c>
      <c r="D88" s="13" t="s">
        <v>40</v>
      </c>
      <c r="E88" s="13" t="s">
        <v>29</v>
      </c>
      <c r="F88" s="13" t="s">
        <v>128</v>
      </c>
      <c r="G88" s="13" t="s">
        <v>33</v>
      </c>
      <c r="H88" s="13">
        <v>2</v>
      </c>
      <c r="I88" s="13">
        <f>LN(B88)</f>
        <v>2.3444944960712553</v>
      </c>
      <c r="J88" s="13">
        <v>0.30331501776206199</v>
      </c>
      <c r="K88" s="13" t="s">
        <v>31</v>
      </c>
      <c r="L88" s="13" t="s">
        <v>31</v>
      </c>
      <c r="M88" s="13" t="s">
        <v>31</v>
      </c>
    </row>
    <row r="89" spans="1:13">
      <c r="A89" s="18" t="s">
        <v>5</v>
      </c>
      <c r="B89" s="19" t="s">
        <v>1535</v>
      </c>
      <c r="C89" s="3"/>
      <c r="D89" s="11"/>
      <c r="E89" s="11"/>
      <c r="F89" s="11"/>
      <c r="G89" s="11"/>
      <c r="H89" s="11"/>
      <c r="I89" s="11"/>
      <c r="J89" s="11"/>
      <c r="K89" s="11"/>
      <c r="L89" s="11"/>
      <c r="M89" s="11"/>
    </row>
    <row r="90" spans="1:13">
      <c r="A90" s="12" t="s">
        <v>7</v>
      </c>
      <c r="B90" s="13" t="s">
        <v>1537</v>
      </c>
      <c r="C90" s="4"/>
      <c r="D90" s="13"/>
      <c r="E90" s="13"/>
      <c r="F90" s="13"/>
      <c r="G90" s="13"/>
      <c r="H90" s="13"/>
      <c r="I90" s="13"/>
      <c r="J90" s="13"/>
      <c r="K90" s="13"/>
      <c r="L90" s="13"/>
      <c r="M90" s="13"/>
    </row>
    <row r="91" spans="1:13">
      <c r="A91" s="12" t="s">
        <v>9</v>
      </c>
      <c r="B91" s="13" t="s">
        <v>1543</v>
      </c>
      <c r="C91" s="4"/>
      <c r="D91" s="13"/>
      <c r="E91" s="13"/>
      <c r="F91" s="13"/>
      <c r="G91" s="13"/>
      <c r="H91" s="13"/>
      <c r="I91" s="13"/>
      <c r="J91" s="13"/>
      <c r="K91" s="13"/>
      <c r="L91" s="13"/>
      <c r="M91" s="13"/>
    </row>
    <row r="92" spans="1:13" ht="30">
      <c r="A92" s="12" t="s">
        <v>11</v>
      </c>
      <c r="B92" s="14" t="s">
        <v>1544</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1535</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235</v>
      </c>
      <c r="B100" s="13">
        <f>94.351*15</f>
        <v>1415.2649999999999</v>
      </c>
      <c r="C100" s="13" t="s">
        <v>37</v>
      </c>
      <c r="D100" s="13" t="s">
        <v>40</v>
      </c>
      <c r="E100" s="13" t="s">
        <v>29</v>
      </c>
      <c r="F100" s="13" t="s">
        <v>58</v>
      </c>
      <c r="G100" s="13" t="s">
        <v>33</v>
      </c>
      <c r="H100" s="13">
        <v>2</v>
      </c>
      <c r="I100" s="13">
        <f>LN(B100)</f>
        <v>7.2550720716947303</v>
      </c>
      <c r="J100" s="13">
        <v>0.30331501776206199</v>
      </c>
      <c r="K100" s="13" t="s">
        <v>31</v>
      </c>
      <c r="L100" s="13" t="s">
        <v>31</v>
      </c>
      <c r="M100" s="13" t="s">
        <v>31</v>
      </c>
    </row>
    <row r="101" spans="1:13">
      <c r="A101" s="12" t="s">
        <v>240</v>
      </c>
      <c r="B101" s="13">
        <f>94.351*14</f>
        <v>1320.914</v>
      </c>
      <c r="C101" s="13" t="s">
        <v>37</v>
      </c>
      <c r="D101" s="13" t="s">
        <v>40</v>
      </c>
      <c r="E101" s="13" t="s">
        <v>29</v>
      </c>
      <c r="F101" s="13" t="s">
        <v>128</v>
      </c>
      <c r="G101" s="13" t="s">
        <v>33</v>
      </c>
      <c r="H101" s="13">
        <v>2</v>
      </c>
      <c r="I101" s="13">
        <f>LN(B101)</f>
        <v>7.1860792002077787</v>
      </c>
      <c r="J101" s="13">
        <v>0.30331501776206199</v>
      </c>
      <c r="K101" s="13" t="s">
        <v>31</v>
      </c>
      <c r="L101" s="13" t="s">
        <v>31</v>
      </c>
      <c r="M101" s="13" t="s">
        <v>31</v>
      </c>
    </row>
    <row r="102" spans="1:13">
      <c r="A102" s="12" t="s">
        <v>235</v>
      </c>
      <c r="B102" s="13">
        <f>94.351*14</f>
        <v>1320.914</v>
      </c>
      <c r="C102" s="13" t="s">
        <v>37</v>
      </c>
      <c r="D102" s="13" t="s">
        <v>40</v>
      </c>
      <c r="E102" s="13" t="s">
        <v>29</v>
      </c>
      <c r="F102" s="13" t="s">
        <v>58</v>
      </c>
      <c r="G102" s="13" t="s">
        <v>243</v>
      </c>
      <c r="H102" s="13">
        <v>2</v>
      </c>
      <c r="I102" s="13">
        <f>LN(B102)</f>
        <v>7.1860792002077787</v>
      </c>
      <c r="J102" s="13">
        <v>0.30331501776206199</v>
      </c>
      <c r="K102" s="13" t="s">
        <v>31</v>
      </c>
      <c r="L102" s="13" t="s">
        <v>31</v>
      </c>
      <c r="M102" s="13" t="s">
        <v>31</v>
      </c>
    </row>
    <row r="103" spans="1:13">
      <c r="A103" s="12" t="s">
        <v>238</v>
      </c>
      <c r="B103" s="13">
        <f>47.175*15</f>
        <v>707.625</v>
      </c>
      <c r="C103" s="13" t="s">
        <v>37</v>
      </c>
      <c r="D103" s="13" t="s">
        <v>40</v>
      </c>
      <c r="E103" s="13" t="s">
        <v>29</v>
      </c>
      <c r="F103" s="13" t="s">
        <v>58</v>
      </c>
      <c r="G103" s="13" t="s">
        <v>33</v>
      </c>
      <c r="H103" s="13">
        <v>2</v>
      </c>
      <c r="I103" s="13">
        <f t="shared" ref="I103:I105" si="1">LN(B103)</f>
        <v>6.5619142923568239</v>
      </c>
      <c r="J103" s="13">
        <v>0.30331501776206199</v>
      </c>
      <c r="K103" s="13" t="s">
        <v>31</v>
      </c>
      <c r="L103" s="13" t="s">
        <v>31</v>
      </c>
      <c r="M103" s="13" t="s">
        <v>31</v>
      </c>
    </row>
    <row r="104" spans="1:13">
      <c r="A104" s="12" t="s">
        <v>1545</v>
      </c>
      <c r="B104" s="13">
        <f>47.175*14</f>
        <v>660.44999999999993</v>
      </c>
      <c r="C104" s="13" t="s">
        <v>37</v>
      </c>
      <c r="D104" s="13" t="s">
        <v>40</v>
      </c>
      <c r="E104" s="13" t="s">
        <v>29</v>
      </c>
      <c r="F104" s="13" t="s">
        <v>35</v>
      </c>
      <c r="G104" s="13" t="s">
        <v>33</v>
      </c>
      <c r="H104" s="13">
        <v>2</v>
      </c>
      <c r="I104" s="13">
        <f t="shared" si="1"/>
        <v>6.4929214208698722</v>
      </c>
      <c r="J104" s="13">
        <v>0.30331501776206199</v>
      </c>
      <c r="K104" s="13" t="s">
        <v>31</v>
      </c>
      <c r="L104" s="13" t="s">
        <v>31</v>
      </c>
      <c r="M104" s="13" t="s">
        <v>31</v>
      </c>
    </row>
    <row r="105" spans="1:13">
      <c r="A105" s="12" t="s">
        <v>238</v>
      </c>
      <c r="B105" s="13">
        <f>47.175*14</f>
        <v>660.44999999999993</v>
      </c>
      <c r="C105" s="13" t="s">
        <v>37</v>
      </c>
      <c r="D105" s="13" t="s">
        <v>40</v>
      </c>
      <c r="E105" s="13" t="s">
        <v>29</v>
      </c>
      <c r="F105" s="13" t="s">
        <v>58</v>
      </c>
      <c r="G105" s="13" t="s">
        <v>243</v>
      </c>
      <c r="H105" s="13">
        <v>2</v>
      </c>
      <c r="I105" s="13">
        <f t="shared" si="1"/>
        <v>6.4929214208698722</v>
      </c>
      <c r="J105" s="13">
        <v>0.30331501776206199</v>
      </c>
      <c r="K105" s="13" t="s">
        <v>31</v>
      </c>
      <c r="L105" s="13" t="s">
        <v>31</v>
      </c>
      <c r="M105" s="13" t="s">
        <v>31</v>
      </c>
    </row>
    <row r="106" spans="1:13">
      <c r="A106" s="18" t="s">
        <v>5</v>
      </c>
      <c r="B106" s="19" t="s">
        <v>1536</v>
      </c>
      <c r="C106" s="3"/>
      <c r="D106" s="11"/>
      <c r="E106" s="11"/>
      <c r="F106" s="11"/>
      <c r="G106" s="11"/>
      <c r="H106" s="11"/>
      <c r="I106" s="11"/>
      <c r="J106" s="11"/>
      <c r="K106" s="11"/>
      <c r="L106" s="11"/>
      <c r="M106" s="11"/>
    </row>
    <row r="107" spans="1:13">
      <c r="A107" s="12" t="s">
        <v>7</v>
      </c>
      <c r="B107" s="13" t="s">
        <v>1537</v>
      </c>
      <c r="C107" s="4"/>
      <c r="D107" s="13"/>
      <c r="E107" s="13"/>
      <c r="F107" s="13"/>
      <c r="G107" s="13"/>
      <c r="H107" s="13"/>
      <c r="I107" s="13"/>
      <c r="J107" s="13"/>
      <c r="K107" s="13"/>
      <c r="L107" s="13"/>
      <c r="M107" s="13"/>
    </row>
    <row r="108" spans="1:13">
      <c r="A108" s="12" t="s">
        <v>9</v>
      </c>
      <c r="B108" s="13" t="s">
        <v>1546</v>
      </c>
      <c r="C108" s="4"/>
      <c r="D108" s="13"/>
      <c r="E108" s="13"/>
      <c r="F108" s="13"/>
      <c r="G108" s="13"/>
      <c r="H108" s="13"/>
      <c r="I108" s="13"/>
      <c r="J108" s="13"/>
      <c r="K108" s="13"/>
      <c r="L108" s="13"/>
      <c r="M108" s="13"/>
    </row>
    <row r="109" spans="1:13" ht="30">
      <c r="A109" s="12" t="s">
        <v>11</v>
      </c>
      <c r="B109" s="14" t="s">
        <v>1547</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1536</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238</v>
      </c>
      <c r="B117" s="13">
        <f>104.283*15</f>
        <v>1564.2450000000001</v>
      </c>
      <c r="C117" s="13" t="s">
        <v>37</v>
      </c>
      <c r="D117" s="13" t="s">
        <v>40</v>
      </c>
      <c r="E117" s="13" t="s">
        <v>29</v>
      </c>
      <c r="F117" s="13" t="s">
        <v>58</v>
      </c>
      <c r="G117" s="13" t="s">
        <v>33</v>
      </c>
      <c r="H117" s="13">
        <v>2</v>
      </c>
      <c r="I117" s="13">
        <f>LN(B117)</f>
        <v>7.355158558453355</v>
      </c>
      <c r="J117" s="13">
        <v>0.30331501776206199</v>
      </c>
      <c r="K117" s="13" t="s">
        <v>31</v>
      </c>
      <c r="L117" s="13" t="s">
        <v>31</v>
      </c>
      <c r="M117" s="13" t="s">
        <v>31</v>
      </c>
    </row>
    <row r="118" spans="1:13">
      <c r="A118" s="12" t="s">
        <v>1545</v>
      </c>
      <c r="B118" s="13">
        <f>104.283*14</f>
        <v>1459.962</v>
      </c>
      <c r="C118" s="13" t="s">
        <v>37</v>
      </c>
      <c r="D118" s="13" t="s">
        <v>40</v>
      </c>
      <c r="E118" s="13" t="s">
        <v>29</v>
      </c>
      <c r="F118" s="13" t="s">
        <v>35</v>
      </c>
      <c r="G118" s="13" t="s">
        <v>33</v>
      </c>
      <c r="H118" s="13">
        <v>2</v>
      </c>
      <c r="I118" s="13">
        <f>LN(B118)</f>
        <v>7.2861656869664033</v>
      </c>
      <c r="J118" s="13">
        <v>0.30331501776206199</v>
      </c>
      <c r="K118" s="13" t="s">
        <v>31</v>
      </c>
      <c r="L118" s="13" t="s">
        <v>31</v>
      </c>
      <c r="M118" s="13" t="s">
        <v>31</v>
      </c>
    </row>
    <row r="119" spans="1:13">
      <c r="A119" s="12" t="s">
        <v>238</v>
      </c>
      <c r="B119" s="13">
        <f>104.283*14</f>
        <v>1459.962</v>
      </c>
      <c r="C119" s="13" t="s">
        <v>37</v>
      </c>
      <c r="D119" s="13" t="s">
        <v>40</v>
      </c>
      <c r="E119" s="13" t="s">
        <v>29</v>
      </c>
      <c r="F119" s="13" t="s">
        <v>58</v>
      </c>
      <c r="G119" s="13" t="s">
        <v>243</v>
      </c>
      <c r="H119" s="13">
        <v>2</v>
      </c>
      <c r="I119" s="13">
        <f>LN(B119)</f>
        <v>7.2861656869664033</v>
      </c>
      <c r="J119" s="13">
        <v>0.30331501776206199</v>
      </c>
      <c r="K119" s="13" t="s">
        <v>31</v>
      </c>
      <c r="L119" s="13" t="s">
        <v>31</v>
      </c>
      <c r="M119" s="13" t="s">
        <v>31</v>
      </c>
    </row>
    <row r="120" spans="1:13">
      <c r="A120" s="12" t="s">
        <v>235</v>
      </c>
      <c r="B120" s="13">
        <f>104.283*15</f>
        <v>1564.2450000000001</v>
      </c>
      <c r="C120" s="13" t="s">
        <v>37</v>
      </c>
      <c r="D120" s="13" t="s">
        <v>40</v>
      </c>
      <c r="E120" s="13" t="s">
        <v>29</v>
      </c>
      <c r="F120" s="13" t="s">
        <v>58</v>
      </c>
      <c r="G120" s="13" t="s">
        <v>33</v>
      </c>
      <c r="H120" s="13">
        <v>2</v>
      </c>
      <c r="I120" s="13">
        <f t="shared" ref="I120:I124" si="2">LN(B120)</f>
        <v>7.355158558453355</v>
      </c>
      <c r="J120" s="13">
        <v>0.30331501776206199</v>
      </c>
      <c r="K120" s="13" t="s">
        <v>31</v>
      </c>
      <c r="L120" s="13" t="s">
        <v>31</v>
      </c>
      <c r="M120" s="13" t="s">
        <v>31</v>
      </c>
    </row>
    <row r="121" spans="1:13">
      <c r="A121" s="12" t="s">
        <v>240</v>
      </c>
      <c r="B121" s="13">
        <f>104.283*14</f>
        <v>1459.962</v>
      </c>
      <c r="C121" s="13" t="s">
        <v>37</v>
      </c>
      <c r="D121" s="13" t="s">
        <v>40</v>
      </c>
      <c r="E121" s="13" t="s">
        <v>29</v>
      </c>
      <c r="F121" s="13" t="s">
        <v>128</v>
      </c>
      <c r="G121" s="13" t="s">
        <v>33</v>
      </c>
      <c r="H121" s="13">
        <v>2</v>
      </c>
      <c r="I121" s="13">
        <f t="shared" si="2"/>
        <v>7.2861656869664033</v>
      </c>
      <c r="J121" s="13">
        <v>0.30331501776206199</v>
      </c>
      <c r="K121" s="13" t="s">
        <v>31</v>
      </c>
      <c r="L121" s="13" t="s">
        <v>31</v>
      </c>
      <c r="M121" s="13" t="s">
        <v>31</v>
      </c>
    </row>
    <row r="122" spans="1:13">
      <c r="A122" s="12" t="s">
        <v>235</v>
      </c>
      <c r="B122" s="13">
        <f>104.283*14</f>
        <v>1459.962</v>
      </c>
      <c r="C122" s="13" t="s">
        <v>37</v>
      </c>
      <c r="D122" s="13" t="s">
        <v>40</v>
      </c>
      <c r="E122" s="13" t="s">
        <v>29</v>
      </c>
      <c r="F122" s="13" t="s">
        <v>58</v>
      </c>
      <c r="G122" s="13" t="s">
        <v>243</v>
      </c>
      <c r="H122" s="13">
        <v>2</v>
      </c>
      <c r="I122" s="13">
        <f t="shared" si="2"/>
        <v>7.2861656869664033</v>
      </c>
      <c r="J122" s="13">
        <v>0.30331501776206199</v>
      </c>
      <c r="K122" s="13" t="s">
        <v>31</v>
      </c>
      <c r="L122" s="13" t="s">
        <v>31</v>
      </c>
      <c r="M122" s="13" t="s">
        <v>31</v>
      </c>
    </row>
    <row r="123" spans="1:13">
      <c r="A123" s="12" t="s">
        <v>672</v>
      </c>
      <c r="B123" s="13">
        <f>52.141*15</f>
        <v>782.11500000000001</v>
      </c>
      <c r="C123" s="13" t="s">
        <v>37</v>
      </c>
      <c r="D123" s="13" t="s">
        <v>40</v>
      </c>
      <c r="E123" s="13" t="s">
        <v>29</v>
      </c>
      <c r="F123" s="13" t="s">
        <v>58</v>
      </c>
      <c r="G123" s="13" t="s">
        <v>33</v>
      </c>
      <c r="H123" s="13">
        <v>2</v>
      </c>
      <c r="I123" s="13">
        <f t="shared" si="2"/>
        <v>6.6620017885567515</v>
      </c>
      <c r="J123" s="13">
        <v>0.30331501776206199</v>
      </c>
      <c r="K123" s="13" t="s">
        <v>31</v>
      </c>
      <c r="L123" s="13" t="s">
        <v>31</v>
      </c>
      <c r="M123" s="13" t="s">
        <v>31</v>
      </c>
    </row>
    <row r="124" spans="1:13">
      <c r="A124" s="12" t="s">
        <v>276</v>
      </c>
      <c r="B124" s="13">
        <f>52.141*14</f>
        <v>729.97399999999993</v>
      </c>
      <c r="C124" s="13" t="s">
        <v>37</v>
      </c>
      <c r="D124" s="13" t="s">
        <v>40</v>
      </c>
      <c r="E124" s="13" t="s">
        <v>29</v>
      </c>
      <c r="F124" s="13" t="s">
        <v>128</v>
      </c>
      <c r="G124" s="13" t="s">
        <v>33</v>
      </c>
      <c r="H124" s="13">
        <v>2</v>
      </c>
      <c r="I124" s="13">
        <f t="shared" si="2"/>
        <v>6.5930089170697999</v>
      </c>
      <c r="J124" s="13">
        <v>0.30331501776206199</v>
      </c>
      <c r="K124" s="13" t="s">
        <v>31</v>
      </c>
      <c r="L124" s="13" t="s">
        <v>31</v>
      </c>
      <c r="M124" s="13" t="s">
        <v>31</v>
      </c>
    </row>
    <row r="125" spans="1:13">
      <c r="A125" s="18" t="s">
        <v>5</v>
      </c>
      <c r="B125" s="19" t="s">
        <v>1524</v>
      </c>
      <c r="C125" s="3"/>
      <c r="D125" s="11"/>
      <c r="E125" s="11"/>
      <c r="F125" s="11"/>
      <c r="G125" s="11"/>
      <c r="H125" s="11"/>
      <c r="I125" s="11"/>
      <c r="J125" s="11"/>
      <c r="K125" s="11"/>
      <c r="L125" s="11"/>
      <c r="M125" s="11"/>
    </row>
    <row r="126" spans="1:13">
      <c r="A126" s="12" t="s">
        <v>7</v>
      </c>
      <c r="B126" s="13" t="s">
        <v>1537</v>
      </c>
      <c r="C126" s="4"/>
      <c r="D126" s="13"/>
      <c r="E126" s="13"/>
      <c r="F126" s="13"/>
      <c r="G126" s="13"/>
      <c r="H126" s="13"/>
      <c r="I126" s="13"/>
      <c r="J126" s="13"/>
      <c r="K126" s="13"/>
      <c r="L126" s="13"/>
      <c r="M126" s="13"/>
    </row>
    <row r="127" spans="1:13">
      <c r="A127" s="12" t="s">
        <v>9</v>
      </c>
      <c r="B127" s="13" t="s">
        <v>1548</v>
      </c>
      <c r="C127" s="4"/>
      <c r="D127" s="13"/>
      <c r="E127" s="13"/>
      <c r="F127" s="13"/>
      <c r="G127" s="13"/>
      <c r="H127" s="13"/>
      <c r="I127" s="13"/>
      <c r="J127" s="13"/>
      <c r="K127" s="13"/>
      <c r="L127" s="13"/>
      <c r="M127" s="13"/>
    </row>
    <row r="128" spans="1:13" ht="30">
      <c r="A128" s="12" t="s">
        <v>11</v>
      </c>
      <c r="B128" s="14" t="s">
        <v>1549</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1524</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618</v>
      </c>
      <c r="B136" s="13">
        <v>512.5</v>
      </c>
      <c r="C136" s="13" t="s">
        <v>37</v>
      </c>
      <c r="D136" s="13" t="s">
        <v>40</v>
      </c>
      <c r="E136" s="13" t="s">
        <v>29</v>
      </c>
      <c r="F136" s="13" t="s">
        <v>58</v>
      </c>
      <c r="G136" s="13" t="s">
        <v>33</v>
      </c>
      <c r="H136" s="13">
        <v>2</v>
      </c>
      <c r="I136" s="13">
        <f>LN(B136)</f>
        <v>6.2393007110125636</v>
      </c>
      <c r="J136" s="13">
        <v>0.24083189157584584</v>
      </c>
      <c r="K136" s="13" t="s">
        <v>31</v>
      </c>
      <c r="L136" s="13" t="s">
        <v>31</v>
      </c>
      <c r="M136" s="13" t="s">
        <v>31</v>
      </c>
    </row>
    <row r="137" spans="1:13">
      <c r="A137" s="18" t="s">
        <v>5</v>
      </c>
      <c r="B137" s="19" t="s">
        <v>1525</v>
      </c>
      <c r="C137" s="3"/>
      <c r="D137" s="11"/>
      <c r="E137" s="11"/>
      <c r="F137" s="11"/>
      <c r="G137" s="11"/>
      <c r="H137" s="11"/>
      <c r="I137" s="11"/>
      <c r="J137" s="11"/>
      <c r="K137" s="11"/>
      <c r="L137" s="11"/>
      <c r="M137" s="11"/>
    </row>
    <row r="138" spans="1:13">
      <c r="A138" s="12" t="s">
        <v>7</v>
      </c>
      <c r="B138" s="13" t="s">
        <v>1537</v>
      </c>
      <c r="C138" s="4"/>
      <c r="D138" s="13"/>
      <c r="E138" s="13"/>
      <c r="F138" s="13"/>
      <c r="G138" s="13"/>
      <c r="H138" s="13"/>
      <c r="I138" s="13"/>
      <c r="J138" s="13"/>
      <c r="K138" s="13"/>
      <c r="L138" s="13"/>
      <c r="M138" s="13"/>
    </row>
    <row r="139" spans="1:13">
      <c r="A139" s="12" t="s">
        <v>9</v>
      </c>
      <c r="B139" s="13" t="s">
        <v>1550</v>
      </c>
      <c r="C139" s="4"/>
      <c r="D139" s="13"/>
      <c r="E139" s="13"/>
      <c r="F139" s="13"/>
      <c r="G139" s="13"/>
      <c r="H139" s="13"/>
      <c r="I139" s="13"/>
      <c r="J139" s="13"/>
      <c r="K139" s="13"/>
      <c r="L139" s="13"/>
      <c r="M139" s="13"/>
    </row>
    <row r="140" spans="1:13" ht="30">
      <c r="A140" s="12" t="s">
        <v>11</v>
      </c>
      <c r="B140" s="14" t="s">
        <v>1551</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238</v>
      </c>
      <c r="B147" s="13">
        <f>110.918*10</f>
        <v>1109.18</v>
      </c>
      <c r="C147" s="13" t="s">
        <v>37</v>
      </c>
      <c r="D147" s="13" t="s">
        <v>40</v>
      </c>
      <c r="E147" s="13" t="s">
        <v>29</v>
      </c>
      <c r="F147" s="13" t="s">
        <v>58</v>
      </c>
      <c r="G147" s="13" t="s">
        <v>33</v>
      </c>
      <c r="H147" s="13">
        <v>2</v>
      </c>
      <c r="I147" s="13">
        <f t="shared" ref="I147:I158" si="3">LN(B147)</f>
        <v>7.0113762825657195</v>
      </c>
      <c r="J147" s="13">
        <v>0.30331501776206199</v>
      </c>
      <c r="K147" s="13" t="s">
        <v>31</v>
      </c>
      <c r="L147" s="13" t="s">
        <v>31</v>
      </c>
      <c r="M147" s="13" t="s">
        <v>31</v>
      </c>
    </row>
    <row r="148" spans="1:13">
      <c r="A148" s="12" t="s">
        <v>1545</v>
      </c>
      <c r="B148" s="13">
        <f>110.918*9</f>
        <v>998.26200000000006</v>
      </c>
      <c r="C148" s="13" t="s">
        <v>37</v>
      </c>
      <c r="D148" s="13" t="s">
        <v>40</v>
      </c>
      <c r="E148" s="13" t="s">
        <v>29</v>
      </c>
      <c r="F148" s="13" t="s">
        <v>35</v>
      </c>
      <c r="G148" s="13" t="s">
        <v>33</v>
      </c>
      <c r="H148" s="13">
        <v>2</v>
      </c>
      <c r="I148" s="13">
        <f t="shared" si="3"/>
        <v>6.9060157669078928</v>
      </c>
      <c r="J148" s="13">
        <v>0.30331501776206199</v>
      </c>
      <c r="K148" s="13" t="s">
        <v>31</v>
      </c>
      <c r="L148" s="13" t="s">
        <v>31</v>
      </c>
      <c r="M148" s="13" t="s">
        <v>31</v>
      </c>
    </row>
    <row r="149" spans="1:13">
      <c r="A149" s="12" t="s">
        <v>238</v>
      </c>
      <c r="B149" s="13">
        <f>110.918*9</f>
        <v>998.26200000000006</v>
      </c>
      <c r="C149" s="13" t="s">
        <v>37</v>
      </c>
      <c r="D149" s="13" t="s">
        <v>40</v>
      </c>
      <c r="E149" s="13" t="s">
        <v>29</v>
      </c>
      <c r="F149" s="13" t="s">
        <v>58</v>
      </c>
      <c r="G149" s="13" t="s">
        <v>243</v>
      </c>
      <c r="H149" s="13">
        <v>2</v>
      </c>
      <c r="I149" s="13">
        <f t="shared" si="3"/>
        <v>6.9060157669078928</v>
      </c>
      <c r="J149" s="13">
        <v>0.30331501776206199</v>
      </c>
      <c r="K149" s="13" t="s">
        <v>31</v>
      </c>
      <c r="L149" s="13" t="s">
        <v>31</v>
      </c>
      <c r="M149" s="13" t="s">
        <v>31</v>
      </c>
    </row>
    <row r="150" spans="1:13">
      <c r="A150" s="12" t="s">
        <v>1355</v>
      </c>
      <c r="B150" s="13">
        <f>15.527*2.2</f>
        <v>34.159399999999998</v>
      </c>
      <c r="C150" s="13" t="s">
        <v>37</v>
      </c>
      <c r="D150" s="13" t="s">
        <v>40</v>
      </c>
      <c r="E150" s="13" t="s">
        <v>29</v>
      </c>
      <c r="F150" s="13" t="s">
        <v>58</v>
      </c>
      <c r="G150" s="13" t="s">
        <v>33</v>
      </c>
      <c r="H150" s="13">
        <v>2</v>
      </c>
      <c r="I150" s="13">
        <f t="shared" si="3"/>
        <v>3.5310378043633026</v>
      </c>
      <c r="J150" s="13">
        <v>0.30331501776206199</v>
      </c>
      <c r="K150" s="13" t="s">
        <v>31</v>
      </c>
      <c r="L150" s="13" t="s">
        <v>31</v>
      </c>
      <c r="M150" s="13" t="s">
        <v>31</v>
      </c>
    </row>
    <row r="151" spans="1:13">
      <c r="A151" s="12" t="s">
        <v>240</v>
      </c>
      <c r="B151" s="13">
        <f>15.527*(2.2-1)</f>
        <v>18.632400000000001</v>
      </c>
      <c r="C151" s="13" t="s">
        <v>37</v>
      </c>
      <c r="D151" s="13" t="s">
        <v>40</v>
      </c>
      <c r="E151" s="13" t="s">
        <v>29</v>
      </c>
      <c r="F151" s="13" t="s">
        <v>128</v>
      </c>
      <c r="G151" s="13" t="s">
        <v>33</v>
      </c>
      <c r="H151" s="13">
        <v>2</v>
      </c>
      <c r="I151" s="13">
        <v>7.1283395581514224</v>
      </c>
      <c r="J151" s="13">
        <v>0.30331501776206199</v>
      </c>
      <c r="K151" s="13" t="s">
        <v>31</v>
      </c>
      <c r="L151" s="13" t="s">
        <v>31</v>
      </c>
      <c r="M151" s="13" t="s">
        <v>31</v>
      </c>
    </row>
    <row r="152" spans="1:13">
      <c r="A152" s="12" t="s">
        <v>1355</v>
      </c>
      <c r="B152" s="13">
        <f>15.527*(2.2-1)</f>
        <v>18.632400000000001</v>
      </c>
      <c r="C152" s="13" t="s">
        <v>37</v>
      </c>
      <c r="D152" s="13" t="s">
        <v>40</v>
      </c>
      <c r="E152" s="13" t="s">
        <v>29</v>
      </c>
      <c r="F152" s="13" t="s">
        <v>58</v>
      </c>
      <c r="G152" s="13" t="s">
        <v>243</v>
      </c>
      <c r="H152" s="13">
        <v>2</v>
      </c>
      <c r="I152" s="13">
        <f t="shared" si="3"/>
        <v>2.9249020007929873</v>
      </c>
      <c r="J152" s="13">
        <v>0.30331501776206199</v>
      </c>
      <c r="K152" s="13" t="s">
        <v>31</v>
      </c>
      <c r="L152" s="13" t="s">
        <v>31</v>
      </c>
      <c r="M152" s="13" t="s">
        <v>31</v>
      </c>
    </row>
    <row r="153" spans="1:13">
      <c r="A153" s="12" t="s">
        <v>1552</v>
      </c>
      <c r="B153" s="13">
        <f>7.337*1.2</f>
        <v>8.8043999999999993</v>
      </c>
      <c r="C153" s="13" t="s">
        <v>37</v>
      </c>
      <c r="D153" s="13" t="s">
        <v>40</v>
      </c>
      <c r="E153" s="13" t="s">
        <v>29</v>
      </c>
      <c r="F153" s="13" t="s">
        <v>58</v>
      </c>
      <c r="G153" s="13" t="s">
        <v>33</v>
      </c>
      <c r="H153" s="13">
        <v>2</v>
      </c>
      <c r="I153" s="13">
        <f t="shared" si="3"/>
        <v>2.1752515965258117</v>
      </c>
      <c r="J153" s="13">
        <v>0.30331501776206199</v>
      </c>
      <c r="K153" s="13" t="s">
        <v>31</v>
      </c>
      <c r="L153" s="13" t="s">
        <v>31</v>
      </c>
      <c r="M153" s="13" t="s">
        <v>31</v>
      </c>
    </row>
    <row r="154" spans="1:13">
      <c r="A154" s="12" t="s">
        <v>240</v>
      </c>
      <c r="B154" s="13">
        <f>7.337*(1.2-1)</f>
        <v>1.4673999999999996</v>
      </c>
      <c r="C154" s="13" t="s">
        <v>37</v>
      </c>
      <c r="D154" s="13" t="s">
        <v>40</v>
      </c>
      <c r="E154" s="13" t="s">
        <v>29</v>
      </c>
      <c r="F154" s="13" t="s">
        <v>128</v>
      </c>
      <c r="G154" s="13" t="s">
        <v>33</v>
      </c>
      <c r="H154" s="13">
        <v>2</v>
      </c>
      <c r="I154" s="13">
        <v>7.1283395581514224</v>
      </c>
      <c r="J154" s="13">
        <v>0.30331501776206199</v>
      </c>
      <c r="K154" s="13" t="s">
        <v>31</v>
      </c>
      <c r="L154" s="13" t="s">
        <v>31</v>
      </c>
      <c r="M154" s="13" t="s">
        <v>31</v>
      </c>
    </row>
    <row r="155" spans="1:13">
      <c r="A155" s="12" t="s">
        <v>1552</v>
      </c>
      <c r="B155" s="13">
        <f>7.337*(1.2-1)</f>
        <v>1.4673999999999996</v>
      </c>
      <c r="C155" s="13" t="s">
        <v>37</v>
      </c>
      <c r="D155" s="13" t="s">
        <v>40</v>
      </c>
      <c r="E155" s="13" t="s">
        <v>29</v>
      </c>
      <c r="F155" s="13" t="s">
        <v>58</v>
      </c>
      <c r="G155" s="13" t="s">
        <v>243</v>
      </c>
      <c r="H155" s="13">
        <v>2</v>
      </c>
      <c r="I155" s="13">
        <f t="shared" si="3"/>
        <v>0.38349212729775656</v>
      </c>
      <c r="J155" s="13">
        <v>0.30331501776206199</v>
      </c>
      <c r="K155" s="13" t="s">
        <v>31</v>
      </c>
      <c r="L155" s="13" t="s">
        <v>31</v>
      </c>
      <c r="M155" s="13" t="s">
        <v>31</v>
      </c>
    </row>
    <row r="156" spans="1:13">
      <c r="A156" s="12" t="s">
        <v>1370</v>
      </c>
      <c r="B156" s="13">
        <f>47.819*2.2</f>
        <v>105.20180000000002</v>
      </c>
      <c r="C156" s="13" t="s">
        <v>37</v>
      </c>
      <c r="D156" s="13" t="s">
        <v>40</v>
      </c>
      <c r="E156" s="13" t="s">
        <v>29</v>
      </c>
      <c r="F156" s="13" t="s">
        <v>58</v>
      </c>
      <c r="G156" s="13" t="s">
        <v>33</v>
      </c>
      <c r="H156" s="13">
        <v>2</v>
      </c>
      <c r="I156" s="13">
        <f t="shared" si="3"/>
        <v>4.6558804104233902</v>
      </c>
      <c r="J156" s="13">
        <v>0.30331501776206199</v>
      </c>
      <c r="K156" s="13" t="s">
        <v>31</v>
      </c>
      <c r="L156" s="13" t="s">
        <v>31</v>
      </c>
      <c r="M156" s="13" t="s">
        <v>31</v>
      </c>
    </row>
    <row r="157" spans="1:13">
      <c r="A157" s="12" t="s">
        <v>240</v>
      </c>
      <c r="B157" s="13">
        <f>47.819*(2.2-1)</f>
        <v>57.38280000000001</v>
      </c>
      <c r="C157" s="13" t="s">
        <v>37</v>
      </c>
      <c r="D157" s="13" t="s">
        <v>40</v>
      </c>
      <c r="E157" s="13" t="s">
        <v>29</v>
      </c>
      <c r="F157" s="13" t="s">
        <v>128</v>
      </c>
      <c r="G157" s="13" t="s">
        <v>33</v>
      </c>
      <c r="H157" s="13">
        <v>2</v>
      </c>
      <c r="I157" s="13">
        <v>7.1283395581514224</v>
      </c>
      <c r="J157" s="13">
        <v>0.30331501776206199</v>
      </c>
      <c r="K157" s="13" t="s">
        <v>31</v>
      </c>
      <c r="L157" s="13" t="s">
        <v>31</v>
      </c>
      <c r="M157" s="13" t="s">
        <v>31</v>
      </c>
    </row>
    <row r="158" spans="1:13">
      <c r="A158" s="12" t="s">
        <v>1370</v>
      </c>
      <c r="B158" s="13">
        <f>47.819*(2.2-1)</f>
        <v>57.38280000000001</v>
      </c>
      <c r="C158" s="13" t="s">
        <v>37</v>
      </c>
      <c r="D158" s="13" t="s">
        <v>40</v>
      </c>
      <c r="E158" s="13" t="s">
        <v>29</v>
      </c>
      <c r="F158" s="13" t="s">
        <v>58</v>
      </c>
      <c r="G158" s="13" t="s">
        <v>243</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A2" sqref="A2:B3"/>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55</v>
      </c>
      <c r="C2" s="3"/>
      <c r="D2" s="11"/>
      <c r="E2" s="11"/>
      <c r="F2" s="11"/>
      <c r="G2" s="11"/>
      <c r="H2" s="11"/>
      <c r="I2" s="11"/>
      <c r="J2" s="11"/>
      <c r="K2" s="11"/>
      <c r="L2" s="11"/>
      <c r="M2" s="11"/>
    </row>
    <row r="3" spans="1:13">
      <c r="A3" s="12" t="s">
        <v>7</v>
      </c>
      <c r="B3" s="13" t="s">
        <v>1496</v>
      </c>
      <c r="C3" s="4"/>
      <c r="D3" s="13"/>
      <c r="E3" s="13"/>
      <c r="F3" s="13"/>
      <c r="G3" s="13"/>
      <c r="H3" s="13"/>
      <c r="I3" s="13"/>
      <c r="J3" s="13"/>
      <c r="K3" s="13"/>
      <c r="L3" s="13"/>
      <c r="M3" s="13"/>
    </row>
    <row r="4" spans="1:13">
      <c r="A4" s="12" t="s">
        <v>9</v>
      </c>
      <c r="B4" s="13" t="s">
        <v>1553</v>
      </c>
      <c r="C4" s="4"/>
      <c r="D4" s="13"/>
      <c r="E4" s="13"/>
      <c r="F4" s="13"/>
      <c r="G4" s="13"/>
      <c r="H4" s="13"/>
      <c r="I4" s="13"/>
      <c r="J4" s="13"/>
      <c r="K4" s="13"/>
      <c r="L4" s="13"/>
      <c r="M4" s="13"/>
    </row>
    <row r="5" spans="1:13" ht="30">
      <c r="A5" s="12" t="s">
        <v>11</v>
      </c>
      <c r="B5" s="14" t="s">
        <v>1554</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55</v>
      </c>
      <c r="B12" s="13">
        <v>1</v>
      </c>
      <c r="C12" s="13" t="s">
        <v>18</v>
      </c>
      <c r="D12" s="13" t="s">
        <v>2</v>
      </c>
      <c r="E12" s="13" t="s">
        <v>29</v>
      </c>
      <c r="F12" s="13" t="s">
        <v>14</v>
      </c>
      <c r="G12" s="13" t="s">
        <v>30</v>
      </c>
      <c r="H12" s="13">
        <v>1</v>
      </c>
      <c r="I12" s="13">
        <v>1</v>
      </c>
      <c r="J12" s="13" t="s">
        <v>31</v>
      </c>
      <c r="K12" s="13" t="s">
        <v>31</v>
      </c>
      <c r="L12" s="13" t="s">
        <v>31</v>
      </c>
      <c r="M12" s="13" t="s">
        <v>31</v>
      </c>
    </row>
    <row r="13" spans="1:13">
      <c r="A13" s="12" t="s">
        <v>330</v>
      </c>
      <c r="B13" s="13">
        <v>71.151302400000006</v>
      </c>
      <c r="C13" s="13" t="s">
        <v>37</v>
      </c>
      <c r="D13" s="13" t="s">
        <v>40</v>
      </c>
      <c r="E13" s="13" t="s">
        <v>29</v>
      </c>
      <c r="F13" s="13" t="s">
        <v>128</v>
      </c>
      <c r="G13" s="13" t="s">
        <v>33</v>
      </c>
      <c r="H13" s="13">
        <v>2</v>
      </c>
      <c r="I13" s="13">
        <f>LN(B13)</f>
        <v>4.2648086293577858</v>
      </c>
      <c r="J13" s="13">
        <v>0.24207436873820401</v>
      </c>
      <c r="K13" s="13" t="s">
        <v>31</v>
      </c>
      <c r="L13" s="13" t="s">
        <v>31</v>
      </c>
      <c r="M13" s="13" t="s">
        <v>31</v>
      </c>
    </row>
    <row r="14" spans="1:13">
      <c r="A14" s="12" t="s">
        <v>1555</v>
      </c>
      <c r="B14" s="13">
        <v>420.41844480000003</v>
      </c>
      <c r="C14" s="13" t="s">
        <v>37</v>
      </c>
      <c r="D14" s="13" t="s">
        <v>40</v>
      </c>
      <c r="E14" s="13" t="s">
        <v>29</v>
      </c>
      <c r="F14" s="13" t="s">
        <v>58</v>
      </c>
      <c r="G14" s="13" t="s">
        <v>33</v>
      </c>
      <c r="H14" s="13">
        <v>2</v>
      </c>
      <c r="I14" s="13">
        <f>LN(B14)</f>
        <v>6.0412505124456706</v>
      </c>
      <c r="J14" s="13">
        <v>0.24207436873820401</v>
      </c>
      <c r="K14" s="13" t="s">
        <v>31</v>
      </c>
      <c r="L14" s="13" t="s">
        <v>31</v>
      </c>
      <c r="M14" s="13" t="s">
        <v>31</v>
      </c>
    </row>
    <row r="15" spans="1:13">
      <c r="A15" s="12" t="s">
        <v>1556</v>
      </c>
      <c r="B15" s="13">
        <v>667.24625279999998</v>
      </c>
      <c r="C15" s="13" t="s">
        <v>37</v>
      </c>
      <c r="D15" s="13" t="s">
        <v>40</v>
      </c>
      <c r="E15" s="13" t="s">
        <v>29</v>
      </c>
      <c r="F15" s="13" t="s">
        <v>58</v>
      </c>
      <c r="G15" s="13" t="s">
        <v>33</v>
      </c>
      <c r="H15" s="13">
        <v>2</v>
      </c>
      <c r="I15" s="13">
        <f>LN(B15)</f>
        <v>6.5031591723827651</v>
      </c>
      <c r="J15" s="13">
        <v>0.24207436873820401</v>
      </c>
      <c r="K15" s="13" t="s">
        <v>31</v>
      </c>
      <c r="L15" s="13" t="s">
        <v>31</v>
      </c>
      <c r="M15" s="13" t="s">
        <v>31</v>
      </c>
    </row>
  </sheetData>
  <pageMargins left="0.7" right="0.7" top="0.75" bottom="0.75" header="0.3" footer="0.3"/>
  <pageSetup paperSize="9" orientation="portrait" verticalDpi="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topLeftCell="A39" zoomScale="70" zoomScaleNormal="70" workbookViewId="0">
      <selection activeCell="C10" sqref="C10"/>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56</v>
      </c>
      <c r="C2" s="3"/>
      <c r="D2" s="11"/>
      <c r="E2" s="11"/>
      <c r="F2" s="11"/>
      <c r="G2" s="11"/>
      <c r="H2" s="11"/>
      <c r="I2" s="11"/>
      <c r="J2" s="11"/>
      <c r="K2" s="11"/>
      <c r="L2" s="11"/>
      <c r="M2" s="11"/>
    </row>
    <row r="3" spans="1:13">
      <c r="A3" s="12" t="s">
        <v>7</v>
      </c>
      <c r="B3" s="13" t="s">
        <v>1496</v>
      </c>
      <c r="C3" s="4"/>
      <c r="D3" s="13"/>
      <c r="E3" s="13"/>
      <c r="F3" s="13"/>
      <c r="G3" s="13"/>
      <c r="H3" s="13"/>
      <c r="I3" s="13"/>
      <c r="J3" s="13"/>
      <c r="K3" s="13"/>
      <c r="L3" s="13"/>
      <c r="M3" s="13"/>
    </row>
    <row r="4" spans="1:13">
      <c r="A4" s="12" t="s">
        <v>9</v>
      </c>
      <c r="B4" s="13" t="s">
        <v>1557</v>
      </c>
      <c r="C4" s="4"/>
      <c r="D4" s="13"/>
      <c r="E4" s="13"/>
      <c r="F4" s="13"/>
      <c r="G4" s="13"/>
      <c r="H4" s="13"/>
      <c r="I4" s="13"/>
      <c r="J4" s="13"/>
      <c r="K4" s="13"/>
      <c r="L4" s="13"/>
      <c r="M4" s="13"/>
    </row>
    <row r="5" spans="1:13" ht="45">
      <c r="A5" s="12" t="s">
        <v>11</v>
      </c>
      <c r="B5" s="14" t="s">
        <v>1558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56</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1559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1560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1561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1562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1563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1564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1559</v>
      </c>
      <c r="C19" s="3"/>
      <c r="D19" s="11"/>
      <c r="E19" s="11"/>
      <c r="F19" s="11"/>
      <c r="G19" s="11"/>
      <c r="H19" s="11"/>
      <c r="I19" s="11"/>
      <c r="J19" s="11"/>
      <c r="K19" s="11"/>
      <c r="L19" s="11"/>
      <c r="M19" s="11"/>
    </row>
    <row r="20" spans="1:13">
      <c r="A20" s="12" t="s">
        <v>7</v>
      </c>
      <c r="B20" s="13" t="s">
        <v>1565</v>
      </c>
      <c r="C20" s="4"/>
      <c r="D20" s="13"/>
      <c r="E20" s="13"/>
      <c r="F20" s="13"/>
      <c r="G20" s="13"/>
      <c r="H20" s="13"/>
      <c r="I20" s="13"/>
      <c r="J20" s="13"/>
      <c r="K20" s="13"/>
      <c r="L20" s="13"/>
      <c r="M20" s="13"/>
    </row>
    <row r="21" spans="1:13">
      <c r="A21" s="12" t="s">
        <v>9</v>
      </c>
      <c r="B21" s="13" t="s">
        <v>1566</v>
      </c>
      <c r="C21" s="4"/>
      <c r="D21" s="13"/>
      <c r="E21" s="13"/>
      <c r="F21" s="13"/>
      <c r="G21" s="13"/>
      <c r="H21" s="13"/>
      <c r="I21" s="13"/>
      <c r="J21" s="13"/>
      <c r="K21" s="13"/>
      <c r="L21" s="13"/>
      <c r="M21" s="13"/>
    </row>
    <row r="22" spans="1:13" ht="30">
      <c r="A22" s="12" t="s">
        <v>11</v>
      </c>
      <c r="B22" s="14" t="s">
        <v>1567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1559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330</v>
      </c>
      <c r="B30" s="13">
        <v>0.95000000000000007</v>
      </c>
      <c r="C30" s="13" t="s">
        <v>37</v>
      </c>
      <c r="D30" s="13" t="s">
        <v>40</v>
      </c>
      <c r="E30" s="13" t="s">
        <v>29</v>
      </c>
      <c r="F30" s="13" t="s">
        <v>128</v>
      </c>
      <c r="G30" s="13" t="s">
        <v>33</v>
      </c>
      <c r="H30" s="13">
        <v>2</v>
      </c>
      <c r="I30" s="13">
        <f>LN(B30)</f>
        <v>-5.129329438755046E-2</v>
      </c>
      <c r="J30" s="13">
        <v>0.29325756597230351</v>
      </c>
      <c r="K30" s="13" t="s">
        <v>31</v>
      </c>
      <c r="L30" s="13" t="s">
        <v>31</v>
      </c>
      <c r="M30" s="13" t="s">
        <v>31</v>
      </c>
    </row>
    <row r="31" spans="1:13">
      <c r="A31" s="12" t="s">
        <v>238</v>
      </c>
      <c r="B31" s="13">
        <v>18.05</v>
      </c>
      <c r="C31" s="13" t="s">
        <v>37</v>
      </c>
      <c r="D31" s="13" t="s">
        <v>40</v>
      </c>
      <c r="E31" s="13" t="s">
        <v>29</v>
      </c>
      <c r="F31" s="13" t="s">
        <v>58</v>
      </c>
      <c r="G31" s="13" t="s">
        <v>33</v>
      </c>
      <c r="H31" s="13">
        <v>2</v>
      </c>
      <c r="I31" s="13">
        <f>LN(B31)</f>
        <v>2.8931456847788901</v>
      </c>
      <c r="J31" s="13">
        <v>0.29325756597230351</v>
      </c>
      <c r="K31" s="13" t="s">
        <v>31</v>
      </c>
      <c r="L31" s="13" t="s">
        <v>31</v>
      </c>
      <c r="M31" s="13" t="s">
        <v>31</v>
      </c>
    </row>
    <row r="32" spans="1:13">
      <c r="A32" s="18" t="s">
        <v>5</v>
      </c>
      <c r="B32" s="19" t="s">
        <v>1560</v>
      </c>
      <c r="C32" s="3"/>
      <c r="D32" s="11"/>
      <c r="E32" s="11"/>
      <c r="F32" s="11"/>
      <c r="G32" s="11"/>
      <c r="H32" s="11"/>
      <c r="I32" s="11"/>
      <c r="J32" s="11"/>
      <c r="K32" s="11"/>
      <c r="L32" s="11"/>
      <c r="M32" s="11"/>
    </row>
    <row r="33" spans="1:13">
      <c r="A33" s="12" t="s">
        <v>7</v>
      </c>
      <c r="B33" s="13" t="s">
        <v>1565</v>
      </c>
      <c r="C33" s="4"/>
      <c r="D33" s="13"/>
      <c r="E33" s="13"/>
      <c r="F33" s="13"/>
      <c r="G33" s="13"/>
      <c r="H33" s="13"/>
      <c r="I33" s="13"/>
      <c r="J33" s="13"/>
      <c r="K33" s="13"/>
      <c r="L33" s="13"/>
      <c r="M33" s="13"/>
    </row>
    <row r="34" spans="1:13">
      <c r="A34" s="12" t="s">
        <v>9</v>
      </c>
      <c r="B34" s="13" t="s">
        <v>1568</v>
      </c>
      <c r="C34" s="4"/>
      <c r="D34" s="13"/>
      <c r="E34" s="13"/>
      <c r="F34" s="13"/>
      <c r="G34" s="13"/>
      <c r="H34" s="13"/>
      <c r="I34" s="13"/>
      <c r="J34" s="13"/>
      <c r="K34" s="13"/>
      <c r="L34" s="13"/>
      <c r="M34" s="13"/>
    </row>
    <row r="35" spans="1:13" ht="30">
      <c r="A35" s="12" t="s">
        <v>11</v>
      </c>
      <c r="B35" s="14" t="s">
        <v>1569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1560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238</v>
      </c>
      <c r="B43" s="13">
        <v>301.19</v>
      </c>
      <c r="C43" s="13" t="s">
        <v>37</v>
      </c>
      <c r="D43" s="13" t="s">
        <v>40</v>
      </c>
      <c r="E43" s="13" t="s">
        <v>29</v>
      </c>
      <c r="F43" s="13" t="s">
        <v>58</v>
      </c>
      <c r="G43" s="13" t="s">
        <v>33</v>
      </c>
      <c r="H43" s="13">
        <v>2</v>
      </c>
      <c r="I43" s="13">
        <f>LN(B43)</f>
        <v>5.7077412948433803</v>
      </c>
      <c r="J43" s="13">
        <v>0.29325756597230351</v>
      </c>
      <c r="K43" s="13" t="s">
        <v>31</v>
      </c>
      <c r="L43" s="13" t="s">
        <v>31</v>
      </c>
      <c r="M43" s="13" t="s">
        <v>31</v>
      </c>
    </row>
    <row r="44" spans="1:13">
      <c r="A44" s="18" t="s">
        <v>5</v>
      </c>
      <c r="B44" s="19" t="s">
        <v>1561</v>
      </c>
      <c r="C44" s="3"/>
      <c r="D44" s="11"/>
      <c r="E44" s="11"/>
      <c r="F44" s="11"/>
      <c r="G44" s="11"/>
      <c r="H44" s="11"/>
      <c r="I44" s="11"/>
      <c r="J44" s="11"/>
      <c r="K44" s="11"/>
      <c r="L44" s="11"/>
      <c r="M44" s="11"/>
    </row>
    <row r="45" spans="1:13">
      <c r="A45" s="12" t="s">
        <v>7</v>
      </c>
      <c r="B45" s="13" t="s">
        <v>1565</v>
      </c>
      <c r="C45" s="4"/>
      <c r="D45" s="13"/>
      <c r="E45" s="13"/>
      <c r="F45" s="13"/>
      <c r="G45" s="13"/>
      <c r="H45" s="13"/>
      <c r="I45" s="13"/>
      <c r="J45" s="13"/>
      <c r="K45" s="13"/>
      <c r="L45" s="13"/>
      <c r="M45" s="13"/>
    </row>
    <row r="46" spans="1:13">
      <c r="A46" s="12" t="s">
        <v>9</v>
      </c>
      <c r="B46" s="13" t="s">
        <v>1570</v>
      </c>
      <c r="C46" s="4"/>
      <c r="D46" s="13"/>
      <c r="E46" s="13"/>
      <c r="F46" s="13"/>
      <c r="G46" s="13"/>
      <c r="H46" s="13"/>
      <c r="I46" s="13"/>
      <c r="J46" s="13"/>
      <c r="K46" s="13"/>
      <c r="L46" s="13"/>
      <c r="M46" s="13"/>
    </row>
    <row r="47" spans="1:13" ht="30">
      <c r="A47" s="12" t="s">
        <v>11</v>
      </c>
      <c r="B47" s="14" t="s">
        <v>1571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1561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1572</v>
      </c>
      <c r="B55" s="13">
        <v>10</v>
      </c>
      <c r="C55" s="13" t="s">
        <v>37</v>
      </c>
      <c r="D55" s="13" t="s">
        <v>40</v>
      </c>
      <c r="E55" s="13" t="s">
        <v>29</v>
      </c>
      <c r="F55" s="13" t="s">
        <v>58</v>
      </c>
      <c r="G55" s="13" t="s">
        <v>33</v>
      </c>
      <c r="H55" s="13">
        <v>2</v>
      </c>
      <c r="I55" s="13">
        <f>LN(B55)</f>
        <v>2.3025850929940459</v>
      </c>
      <c r="J55" s="13">
        <v>0.29325756597230351</v>
      </c>
      <c r="K55" s="13" t="s">
        <v>31</v>
      </c>
      <c r="L55" s="13" t="s">
        <v>31</v>
      </c>
      <c r="M55" s="13" t="s">
        <v>31</v>
      </c>
    </row>
    <row r="56" spans="1:13">
      <c r="A56" s="18" t="s">
        <v>5</v>
      </c>
      <c r="B56" s="19" t="s">
        <v>1562</v>
      </c>
      <c r="C56" s="3"/>
      <c r="D56" s="11"/>
      <c r="E56" s="11"/>
      <c r="F56" s="11"/>
      <c r="G56" s="11"/>
      <c r="H56" s="11"/>
      <c r="I56" s="11"/>
      <c r="J56" s="11"/>
      <c r="K56" s="11"/>
      <c r="L56" s="11"/>
      <c r="M56" s="11"/>
    </row>
    <row r="57" spans="1:13">
      <c r="A57" s="12" t="s">
        <v>7</v>
      </c>
      <c r="B57" s="13" t="s">
        <v>1565</v>
      </c>
      <c r="C57" s="4"/>
      <c r="D57" s="13"/>
      <c r="E57" s="13"/>
      <c r="F57" s="13"/>
      <c r="G57" s="13"/>
      <c r="H57" s="13"/>
      <c r="I57" s="13"/>
      <c r="J57" s="13"/>
      <c r="K57" s="13"/>
      <c r="L57" s="13"/>
      <c r="M57" s="13"/>
    </row>
    <row r="58" spans="1:13">
      <c r="A58" s="12" t="s">
        <v>9</v>
      </c>
      <c r="B58" s="13" t="s">
        <v>1573</v>
      </c>
      <c r="C58" s="4"/>
      <c r="D58" s="13"/>
      <c r="E58" s="13"/>
      <c r="F58" s="13"/>
      <c r="G58" s="13"/>
      <c r="H58" s="13"/>
      <c r="I58" s="13"/>
      <c r="J58" s="13"/>
      <c r="K58" s="13"/>
      <c r="L58" s="13"/>
      <c r="M58" s="13"/>
    </row>
    <row r="59" spans="1:13" ht="45">
      <c r="A59" s="12" t="s">
        <v>11</v>
      </c>
      <c r="B59" s="14" t="s">
        <v>1574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1562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1575</v>
      </c>
      <c r="B67" s="13">
        <v>11.8</v>
      </c>
      <c r="C67" s="13" t="s">
        <v>37</v>
      </c>
      <c r="D67" s="13" t="s">
        <v>40</v>
      </c>
      <c r="E67" s="13" t="s">
        <v>29</v>
      </c>
      <c r="F67" s="13" t="s">
        <v>58</v>
      </c>
      <c r="G67" s="13" t="s">
        <v>33</v>
      </c>
      <c r="H67" s="13">
        <v>2</v>
      </c>
      <c r="I67" s="13">
        <f>LN(B67)</f>
        <v>2.4680995314716192</v>
      </c>
      <c r="J67" s="13">
        <v>0.29325756597230351</v>
      </c>
      <c r="K67" s="13" t="s">
        <v>31</v>
      </c>
      <c r="L67" s="13" t="s">
        <v>31</v>
      </c>
      <c r="M67" s="13" t="s">
        <v>31</v>
      </c>
      <c r="N67" t="s">
        <v>1576</v>
      </c>
    </row>
    <row r="68" spans="1:14">
      <c r="A68" s="12" t="s">
        <v>235</v>
      </c>
      <c r="B68" s="13">
        <v>6.26</v>
      </c>
      <c r="C68" s="13" t="s">
        <v>37</v>
      </c>
      <c r="D68" s="13" t="s">
        <v>40</v>
      </c>
      <c r="E68" s="13" t="s">
        <v>29</v>
      </c>
      <c r="F68" s="13" t="s">
        <v>58</v>
      </c>
      <c r="G68" s="13" t="s">
        <v>33</v>
      </c>
      <c r="H68" s="13">
        <v>2</v>
      </c>
      <c r="I68" s="13">
        <f>LN(B68)</f>
        <v>1.8341801851120072</v>
      </c>
      <c r="J68" s="13">
        <v>0.29325756597230351</v>
      </c>
      <c r="K68" s="13" t="s">
        <v>31</v>
      </c>
      <c r="L68" s="13" t="s">
        <v>31</v>
      </c>
      <c r="M68" s="13" t="s">
        <v>31</v>
      </c>
    </row>
    <row r="69" spans="1:14">
      <c r="A69" s="18" t="s">
        <v>5</v>
      </c>
      <c r="B69" s="19" t="s">
        <v>1563</v>
      </c>
      <c r="C69" s="3"/>
      <c r="D69" s="11"/>
      <c r="E69" s="11"/>
      <c r="F69" s="11"/>
      <c r="G69" s="11"/>
      <c r="H69" s="11"/>
      <c r="I69" s="11"/>
      <c r="J69" s="11"/>
      <c r="K69" s="11"/>
      <c r="L69" s="11"/>
      <c r="M69" s="11"/>
    </row>
    <row r="70" spans="1:14">
      <c r="A70" s="12" t="s">
        <v>7</v>
      </c>
      <c r="B70" s="13" t="s">
        <v>1565</v>
      </c>
      <c r="C70" s="4"/>
      <c r="D70" s="13"/>
      <c r="E70" s="13"/>
      <c r="F70" s="13"/>
      <c r="G70" s="13"/>
      <c r="H70" s="13"/>
      <c r="I70" s="13"/>
      <c r="J70" s="13"/>
      <c r="K70" s="13"/>
      <c r="L70" s="13"/>
      <c r="M70" s="13"/>
    </row>
    <row r="71" spans="1:14">
      <c r="A71" s="12" t="s">
        <v>9</v>
      </c>
      <c r="B71" s="13" t="s">
        <v>1577</v>
      </c>
      <c r="C71" s="4"/>
      <c r="D71" s="13"/>
      <c r="E71" s="13"/>
      <c r="F71" s="13"/>
      <c r="G71" s="13"/>
      <c r="H71" s="13"/>
      <c r="I71" s="13"/>
      <c r="J71" s="13"/>
      <c r="K71" s="13"/>
      <c r="L71" s="13"/>
      <c r="M71" s="13"/>
    </row>
    <row r="72" spans="1:14" ht="45">
      <c r="A72" s="12" t="s">
        <v>11</v>
      </c>
      <c r="B72" s="14" t="s">
        <v>1578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1563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601</v>
      </c>
      <c r="B80" s="13">
        <v>10.5</v>
      </c>
      <c r="C80" s="13" t="s">
        <v>37</v>
      </c>
      <c r="D80" s="13" t="s">
        <v>40</v>
      </c>
      <c r="E80" s="13" t="s">
        <v>29</v>
      </c>
      <c r="F80" s="13" t="s">
        <v>35</v>
      </c>
      <c r="G80" s="13" t="s">
        <v>33</v>
      </c>
      <c r="H80" s="13">
        <v>2</v>
      </c>
      <c r="I80" s="13">
        <f>LN(B80)</f>
        <v>2.3513752571634776</v>
      </c>
      <c r="J80" s="13">
        <v>0.29325756597230351</v>
      </c>
      <c r="K80" s="13" t="s">
        <v>31</v>
      </c>
      <c r="L80" s="13" t="s">
        <v>31</v>
      </c>
      <c r="M80" s="13" t="s">
        <v>31</v>
      </c>
    </row>
    <row r="81" spans="1:13">
      <c r="A81" s="12" t="s">
        <v>1579</v>
      </c>
      <c r="B81" s="13">
        <v>10.5</v>
      </c>
      <c r="C81" s="13" t="s">
        <v>37</v>
      </c>
      <c r="D81" s="13" t="s">
        <v>40</v>
      </c>
      <c r="E81" s="13" t="s">
        <v>29</v>
      </c>
      <c r="F81" s="13" t="s">
        <v>58</v>
      </c>
      <c r="G81" s="13" t="s">
        <v>33</v>
      </c>
      <c r="H81" s="13">
        <v>2</v>
      </c>
      <c r="I81" s="13">
        <f>LN(B81)</f>
        <v>2.3513752571634776</v>
      </c>
      <c r="J81" s="13">
        <v>0.29325756597230351</v>
      </c>
      <c r="K81" s="13" t="s">
        <v>31</v>
      </c>
      <c r="L81" s="13" t="s">
        <v>31</v>
      </c>
      <c r="M81" s="13" t="s">
        <v>31</v>
      </c>
    </row>
    <row r="82" spans="1:13">
      <c r="A82" s="18" t="s">
        <v>5</v>
      </c>
      <c r="B82" s="19" t="s">
        <v>1564</v>
      </c>
      <c r="C82" s="3"/>
      <c r="D82" s="11"/>
      <c r="E82" s="11"/>
      <c r="F82" s="11"/>
      <c r="G82" s="11"/>
      <c r="H82" s="11"/>
      <c r="I82" s="11"/>
      <c r="J82" s="11"/>
      <c r="K82" s="11"/>
      <c r="L82" s="11"/>
      <c r="M82" s="11"/>
    </row>
    <row r="83" spans="1:13">
      <c r="A83" s="12" t="s">
        <v>7</v>
      </c>
      <c r="B83" s="13" t="s">
        <v>1565</v>
      </c>
      <c r="C83" s="4"/>
      <c r="D83" s="13"/>
      <c r="E83" s="13"/>
      <c r="F83" s="13"/>
      <c r="G83" s="13"/>
      <c r="H83" s="13"/>
      <c r="I83" s="13"/>
      <c r="J83" s="13"/>
      <c r="K83" s="13"/>
      <c r="L83" s="13"/>
      <c r="M83" s="13"/>
    </row>
    <row r="84" spans="1:13">
      <c r="A84" s="12" t="s">
        <v>9</v>
      </c>
      <c r="B84" s="13" t="s">
        <v>1580</v>
      </c>
      <c r="C84" s="4"/>
      <c r="D84" s="13"/>
      <c r="E84" s="13"/>
      <c r="F84" s="13"/>
      <c r="G84" s="13"/>
      <c r="H84" s="13"/>
      <c r="I84" s="13"/>
      <c r="J84" s="13"/>
      <c r="K84" s="13"/>
      <c r="L84" s="13"/>
      <c r="M84" s="13"/>
    </row>
    <row r="85" spans="1:13" ht="30">
      <c r="A85" s="12" t="s">
        <v>11</v>
      </c>
      <c r="B85" s="14" t="s">
        <v>1581</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1564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330</v>
      </c>
      <c r="B93" s="13">
        <v>61.6</v>
      </c>
      <c r="C93" s="13" t="s">
        <v>37</v>
      </c>
      <c r="D93" s="13" t="s">
        <v>40</v>
      </c>
      <c r="E93" s="13" t="s">
        <v>29</v>
      </c>
      <c r="F93" s="13" t="s">
        <v>128</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23B6-05A1-4C02-9CC0-CE95C9D57F8D}">
  <dimension ref="A1:O51"/>
  <sheetViews>
    <sheetView topLeftCell="A30" workbookViewId="0">
      <selection activeCell="A49" sqref="A49"/>
    </sheetView>
  </sheetViews>
  <sheetFormatPr defaultColWidth="8.85546875" defaultRowHeight="15"/>
  <cols>
    <col min="1" max="1" width="33" style="24" bestFit="1" customWidth="1"/>
    <col min="2" max="2" width="39" style="24" bestFit="1" customWidth="1"/>
    <col min="3" max="3" width="11.5703125" style="24" bestFit="1"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5">
      <c r="A1" s="24" t="s">
        <v>0</v>
      </c>
      <c r="B1" s="24">
        <v>13</v>
      </c>
      <c r="C1" s="25"/>
      <c r="O1" s="26" t="str">
        <f ca="1">UPPER(CONCATENATE(DEC2HEX(RANDBETWEEN(0,POWER(16,8)),8),DEC2HEX(RANDBETWEEN(0,POWER(16,4)),4),"4",DEC2HEX(RANDBETWEEN(0,POWER(16,3)),3),DEC2HEX(RANDBETWEEN(8,11)),DEC2HEX(RANDBETWEEN(0,POWER(16,3)),3),DEC2HEX(RANDBETWEEN(0,POWER(16,8)),8),DEC2HEX(RANDBETWEEN(0,POWER(16,4)),4)))</f>
        <v>DB3D7ED8A86D4886BD19D4D39F690777</v>
      </c>
    </row>
    <row r="2" spans="1:15" ht="15.75">
      <c r="A2" s="29" t="s">
        <v>5</v>
      </c>
      <c r="B2" s="29" t="s">
        <v>1582</v>
      </c>
      <c r="C2" s="30"/>
      <c r="D2" s="31"/>
      <c r="E2" s="31"/>
      <c r="F2" s="31"/>
      <c r="G2" s="31"/>
      <c r="H2" s="31"/>
      <c r="I2" s="31"/>
      <c r="J2" s="31"/>
      <c r="K2" s="31"/>
      <c r="L2" s="31"/>
      <c r="M2" s="31"/>
      <c r="N2" s="31"/>
    </row>
    <row r="3" spans="1:15" s="26" customFormat="1" ht="12.75">
      <c r="A3" s="26" t="s">
        <v>7</v>
      </c>
      <c r="B3" s="26" t="s">
        <v>1583</v>
      </c>
    </row>
    <row r="4" spans="1:15" s="26" customFormat="1" ht="12.75">
      <c r="A4" s="26" t="s">
        <v>9</v>
      </c>
      <c r="B4" s="26" t="s">
        <v>1584</v>
      </c>
    </row>
    <row r="5" spans="1:15" s="26" customFormat="1" ht="12.75">
      <c r="A5" s="26" t="s">
        <v>11</v>
      </c>
      <c r="B5" s="26" t="s">
        <v>1585</v>
      </c>
    </row>
    <row r="6" spans="1:15" s="26" customFormat="1" ht="12.75">
      <c r="A6" s="26" t="s">
        <v>13</v>
      </c>
      <c r="B6" s="26" t="s">
        <v>14</v>
      </c>
    </row>
    <row r="7" spans="1:15" s="26" customFormat="1" ht="12.75">
      <c r="A7" s="26" t="s">
        <v>15</v>
      </c>
      <c r="B7" s="32">
        <v>1</v>
      </c>
    </row>
    <row r="8" spans="1:15" s="26" customFormat="1" ht="12.75">
      <c r="A8" s="26" t="s">
        <v>16</v>
      </c>
      <c r="B8" s="26" t="s">
        <v>17</v>
      </c>
    </row>
    <row r="9" spans="1:15" s="26" customFormat="1" ht="12.75">
      <c r="A9" s="26" t="s">
        <v>18</v>
      </c>
      <c r="B9" s="26" t="s">
        <v>37</v>
      </c>
    </row>
    <row r="10" spans="1:15" ht="15.75">
      <c r="A10" s="27" t="s">
        <v>19</v>
      </c>
    </row>
    <row r="11" spans="1:15" ht="15.75">
      <c r="A11" s="27" t="s">
        <v>20</v>
      </c>
      <c r="B11" s="27" t="s">
        <v>21</v>
      </c>
      <c r="C11" s="27" t="s">
        <v>18</v>
      </c>
      <c r="D11" s="27" t="s">
        <v>22</v>
      </c>
      <c r="E11" s="27" t="s">
        <v>7</v>
      </c>
      <c r="F11" s="27" t="s">
        <v>13</v>
      </c>
      <c r="G11" s="27" t="s">
        <v>16</v>
      </c>
      <c r="H11" s="27" t="s">
        <v>23</v>
      </c>
      <c r="I11" s="27" t="s">
        <v>24</v>
      </c>
      <c r="J11" s="27" t="s">
        <v>25</v>
      </c>
      <c r="K11" s="27" t="s">
        <v>26</v>
      </c>
      <c r="L11" s="27" t="s">
        <v>27</v>
      </c>
      <c r="M11" s="27" t="s">
        <v>28</v>
      </c>
      <c r="N11" s="27" t="s">
        <v>68</v>
      </c>
    </row>
    <row r="12" spans="1:15" s="26" customFormat="1" ht="12.75">
      <c r="A12" s="26" t="s">
        <v>1582</v>
      </c>
      <c r="B12" s="26">
        <f>B7</f>
        <v>1</v>
      </c>
      <c r="C12" s="26" t="str">
        <f>B9</f>
        <v>kilogram</v>
      </c>
      <c r="D12" s="26" t="s">
        <v>2</v>
      </c>
      <c r="E12" s="26" t="s">
        <v>29</v>
      </c>
      <c r="F12" s="26" t="str">
        <f>B6</f>
        <v>EUR</v>
      </c>
      <c r="G12" s="26" t="s">
        <v>30</v>
      </c>
      <c r="H12" s="26">
        <v>0</v>
      </c>
      <c r="I12" s="26">
        <f t="shared" ref="I12:I17" si="0">B12</f>
        <v>1</v>
      </c>
      <c r="J12" s="26" t="s">
        <v>31</v>
      </c>
      <c r="K12" s="26" t="s">
        <v>31</v>
      </c>
      <c r="L12" s="26" t="s">
        <v>31</v>
      </c>
      <c r="M12" s="26" t="s">
        <v>31</v>
      </c>
    </row>
    <row r="13" spans="1:15" s="26" customFormat="1" ht="12.75">
      <c r="A13" s="32" t="s">
        <v>1586</v>
      </c>
      <c r="B13" s="33">
        <f>1/(((60000+90000)/2)*50000/24)</f>
        <v>6.4000000000000002E-9</v>
      </c>
      <c r="C13" s="26" t="s">
        <v>18</v>
      </c>
      <c r="D13" s="26" t="s">
        <v>2</v>
      </c>
      <c r="E13" s="26" t="s">
        <v>29</v>
      </c>
      <c r="F13" s="26" t="s">
        <v>14</v>
      </c>
      <c r="G13" s="26" t="s">
        <v>33</v>
      </c>
      <c r="H13" s="26">
        <v>0</v>
      </c>
      <c r="I13" s="26">
        <f t="shared" si="0"/>
        <v>6.4000000000000002E-9</v>
      </c>
      <c r="J13" s="26" t="s">
        <v>31</v>
      </c>
      <c r="K13" s="26" t="s">
        <v>31</v>
      </c>
      <c r="L13" s="26" t="s">
        <v>31</v>
      </c>
      <c r="M13" s="26" t="s">
        <v>31</v>
      </c>
      <c r="N13" s="26" t="s">
        <v>1587</v>
      </c>
    </row>
    <row r="14" spans="1:15" s="26" customFormat="1" ht="12.75">
      <c r="A14" s="26" t="s">
        <v>38</v>
      </c>
      <c r="B14" s="26">
        <v>47</v>
      </c>
      <c r="C14" s="34" t="s">
        <v>39</v>
      </c>
      <c r="D14" s="26" t="s">
        <v>40</v>
      </c>
      <c r="E14" s="26" t="s">
        <v>29</v>
      </c>
      <c r="F14" s="26" t="s">
        <v>14</v>
      </c>
      <c r="G14" s="26" t="s">
        <v>33</v>
      </c>
      <c r="H14" s="26">
        <v>0</v>
      </c>
      <c r="I14" s="26">
        <f t="shared" si="0"/>
        <v>47</v>
      </c>
      <c r="J14" s="26" t="s">
        <v>31</v>
      </c>
      <c r="K14" s="26" t="s">
        <v>31</v>
      </c>
      <c r="L14" s="26" t="s">
        <v>31</v>
      </c>
      <c r="M14" s="26" t="s">
        <v>31</v>
      </c>
      <c r="N14" s="32" t="s">
        <v>1588</v>
      </c>
    </row>
    <row r="15" spans="1:15" s="26" customFormat="1" ht="12.75">
      <c r="A15" s="32" t="s">
        <v>961</v>
      </c>
      <c r="B15" s="34">
        <v>9</v>
      </c>
      <c r="C15" s="26" t="s">
        <v>37</v>
      </c>
      <c r="D15" s="26" t="s">
        <v>40</v>
      </c>
      <c r="E15" s="26" t="s">
        <v>29</v>
      </c>
      <c r="F15" s="26" t="s">
        <v>35</v>
      </c>
      <c r="G15" s="26" t="s">
        <v>33</v>
      </c>
      <c r="H15" s="26">
        <v>0</v>
      </c>
      <c r="I15" s="26">
        <f t="shared" si="0"/>
        <v>9</v>
      </c>
      <c r="J15" s="26" t="s">
        <v>31</v>
      </c>
      <c r="K15" s="26" t="s">
        <v>31</v>
      </c>
      <c r="L15" s="26" t="s">
        <v>31</v>
      </c>
      <c r="M15" s="26" t="s">
        <v>31</v>
      </c>
      <c r="N15" s="26" t="s">
        <v>1589</v>
      </c>
    </row>
    <row r="16" spans="1:15" s="26" customFormat="1" ht="12.75">
      <c r="A16" s="32" t="s">
        <v>954</v>
      </c>
      <c r="B16" s="35">
        <f>1/1000</f>
        <v>1E-3</v>
      </c>
      <c r="C16" s="26" t="s">
        <v>37</v>
      </c>
      <c r="D16" s="26" t="s">
        <v>40</v>
      </c>
      <c r="E16" s="26" t="s">
        <v>29</v>
      </c>
      <c r="F16" s="26" t="s">
        <v>58</v>
      </c>
      <c r="G16" s="26" t="s">
        <v>33</v>
      </c>
      <c r="H16" s="26">
        <v>0</v>
      </c>
      <c r="I16" s="26">
        <f t="shared" si="0"/>
        <v>1E-3</v>
      </c>
      <c r="J16" s="26" t="s">
        <v>31</v>
      </c>
      <c r="K16" s="26" t="s">
        <v>31</v>
      </c>
      <c r="L16" s="26" t="s">
        <v>31</v>
      </c>
      <c r="M16" s="26" t="s">
        <v>31</v>
      </c>
      <c r="N16" s="26" t="s">
        <v>1590</v>
      </c>
    </row>
    <row r="17" spans="1:14" s="26" customFormat="1" ht="12.75">
      <c r="A17" s="32" t="s">
        <v>1591</v>
      </c>
      <c r="B17" s="34">
        <v>8</v>
      </c>
      <c r="C17" s="26" t="s">
        <v>37</v>
      </c>
      <c r="D17" s="26" t="s">
        <v>43</v>
      </c>
      <c r="E17" s="26" t="s">
        <v>44</v>
      </c>
      <c r="F17" s="26" t="s">
        <v>31</v>
      </c>
      <c r="G17" s="26" t="s">
        <v>45</v>
      </c>
      <c r="H17" s="26">
        <v>0</v>
      </c>
      <c r="I17" s="26">
        <f t="shared" si="0"/>
        <v>8</v>
      </c>
      <c r="J17" s="26" t="s">
        <v>31</v>
      </c>
      <c r="K17" s="26" t="s">
        <v>31</v>
      </c>
      <c r="L17" s="26" t="s">
        <v>31</v>
      </c>
      <c r="M17" s="26" t="s">
        <v>31</v>
      </c>
      <c r="N17" s="26" t="s">
        <v>1592</v>
      </c>
    </row>
    <row r="18" spans="1:14" s="26" customFormat="1" ht="15.75">
      <c r="A18" s="29" t="s">
        <v>5</v>
      </c>
      <c r="B18" s="29" t="s">
        <v>1593</v>
      </c>
      <c r="C18" s="30"/>
      <c r="D18" s="31"/>
      <c r="E18" s="31"/>
      <c r="F18" s="31"/>
      <c r="G18" s="31"/>
      <c r="H18" s="31"/>
      <c r="I18" s="31"/>
      <c r="J18" s="31"/>
      <c r="K18" s="31"/>
      <c r="L18" s="31"/>
      <c r="M18" s="31"/>
      <c r="N18" s="31"/>
    </row>
    <row r="19" spans="1:14" s="26" customFormat="1" ht="12.75">
      <c r="A19" s="26" t="s">
        <v>7</v>
      </c>
      <c r="B19" s="26" t="s">
        <v>1583</v>
      </c>
    </row>
    <row r="20" spans="1:14" s="26" customFormat="1" ht="12.75">
      <c r="A20" s="26" t="s">
        <v>9</v>
      </c>
      <c r="B20" s="26" t="s">
        <v>1594</v>
      </c>
    </row>
    <row r="21" spans="1:14" s="26" customFormat="1" ht="12.75">
      <c r="A21" s="26" t="s">
        <v>11</v>
      </c>
      <c r="B21" s="26" t="s">
        <v>1595</v>
      </c>
    </row>
    <row r="22" spans="1:14">
      <c r="A22" s="26" t="s">
        <v>13</v>
      </c>
      <c r="B22" s="26" t="s">
        <v>14</v>
      </c>
      <c r="C22" s="26"/>
      <c r="D22" s="26"/>
      <c r="E22" s="26"/>
      <c r="F22" s="26"/>
      <c r="G22" s="26"/>
      <c r="H22" s="26"/>
      <c r="I22" s="26"/>
      <c r="J22" s="26"/>
      <c r="K22" s="26"/>
      <c r="L22" s="26"/>
      <c r="M22" s="26"/>
      <c r="N22" s="26"/>
    </row>
    <row r="23" spans="1:14">
      <c r="A23" s="26" t="s">
        <v>15</v>
      </c>
      <c r="B23" s="32">
        <v>1</v>
      </c>
      <c r="C23" s="26"/>
      <c r="D23" s="26"/>
      <c r="E23" s="26"/>
      <c r="F23" s="26"/>
      <c r="G23" s="26"/>
      <c r="H23" s="26"/>
      <c r="I23" s="26"/>
      <c r="J23" s="26"/>
      <c r="K23" s="26"/>
      <c r="L23" s="26"/>
      <c r="M23" s="26"/>
      <c r="N23" s="26"/>
    </row>
    <row r="24" spans="1:14">
      <c r="A24" s="26" t="s">
        <v>16</v>
      </c>
      <c r="B24" s="26" t="s">
        <v>17</v>
      </c>
      <c r="C24" s="26"/>
      <c r="D24" s="26"/>
      <c r="E24" s="26"/>
      <c r="F24" s="26"/>
      <c r="G24" s="26"/>
      <c r="H24" s="26"/>
      <c r="I24" s="26"/>
      <c r="J24" s="26"/>
      <c r="K24" s="26"/>
      <c r="L24" s="26"/>
      <c r="M24" s="26"/>
      <c r="N24" s="26"/>
    </row>
    <row r="25" spans="1:14">
      <c r="A25" s="26" t="s">
        <v>18</v>
      </c>
      <c r="B25" s="26" t="s">
        <v>37</v>
      </c>
      <c r="C25" s="26"/>
      <c r="D25" s="26"/>
      <c r="E25" s="26"/>
      <c r="F25" s="26"/>
      <c r="G25" s="26"/>
      <c r="H25" s="26"/>
      <c r="I25" s="26"/>
      <c r="J25" s="26"/>
      <c r="K25" s="26"/>
      <c r="L25" s="26"/>
      <c r="M25" s="26"/>
      <c r="N25" s="26"/>
    </row>
    <row r="26" spans="1:14" ht="15.75">
      <c r="A26" s="27" t="s">
        <v>19</v>
      </c>
    </row>
    <row r="27" spans="1:14" ht="15.75">
      <c r="A27" s="27" t="s">
        <v>20</v>
      </c>
      <c r="B27" s="27" t="s">
        <v>21</v>
      </c>
      <c r="C27" s="27" t="s">
        <v>18</v>
      </c>
      <c r="D27" s="27" t="s">
        <v>22</v>
      </c>
      <c r="E27" s="27" t="s">
        <v>7</v>
      </c>
      <c r="F27" s="27" t="s">
        <v>13</v>
      </c>
      <c r="G27" s="27" t="s">
        <v>16</v>
      </c>
      <c r="H27" s="27" t="s">
        <v>23</v>
      </c>
      <c r="I27" s="27" t="s">
        <v>24</v>
      </c>
      <c r="J27" s="27" t="s">
        <v>25</v>
      </c>
      <c r="K27" s="27" t="s">
        <v>26</v>
      </c>
      <c r="L27" s="27" t="s">
        <v>27</v>
      </c>
      <c r="M27" s="27" t="s">
        <v>28</v>
      </c>
      <c r="N27" s="27" t="s">
        <v>68</v>
      </c>
    </row>
    <row r="28" spans="1:14">
      <c r="A28" s="26" t="s">
        <v>1593</v>
      </c>
      <c r="B28" s="36">
        <f>B23</f>
        <v>1</v>
      </c>
      <c r="C28" s="26" t="str">
        <f>B25</f>
        <v>kilogram</v>
      </c>
      <c r="D28" s="26" t="s">
        <v>2</v>
      </c>
      <c r="E28" s="26" t="s">
        <v>29</v>
      </c>
      <c r="F28" s="26" t="str">
        <f>B22</f>
        <v>EUR</v>
      </c>
      <c r="G28" s="26" t="s">
        <v>30</v>
      </c>
      <c r="H28" s="26">
        <v>0</v>
      </c>
      <c r="I28" s="26">
        <f>B28</f>
        <v>1</v>
      </c>
      <c r="J28" s="26" t="s">
        <v>31</v>
      </c>
      <c r="K28" s="26" t="s">
        <v>31</v>
      </c>
      <c r="L28" s="26" t="s">
        <v>31</v>
      </c>
      <c r="M28" s="26" t="s">
        <v>31</v>
      </c>
      <c r="N28" s="26"/>
    </row>
    <row r="29" spans="1:14">
      <c r="A29" s="26" t="s">
        <v>1596</v>
      </c>
      <c r="B29" s="33">
        <f>1/(16666667*30)</f>
        <v>1.9999999600000008E-9</v>
      </c>
      <c r="C29" s="26" t="s">
        <v>18</v>
      </c>
      <c r="D29" s="26" t="s">
        <v>2</v>
      </c>
      <c r="E29" s="26" t="s">
        <v>29</v>
      </c>
      <c r="F29" s="26" t="s">
        <v>14</v>
      </c>
      <c r="G29" s="26" t="s">
        <v>33</v>
      </c>
      <c r="H29" s="26">
        <v>0</v>
      </c>
      <c r="I29" s="26">
        <f>B29</f>
        <v>1.9999999600000008E-9</v>
      </c>
      <c r="J29" s="26" t="s">
        <v>31</v>
      </c>
      <c r="K29" s="26" t="s">
        <v>31</v>
      </c>
      <c r="L29" s="26" t="s">
        <v>31</v>
      </c>
      <c r="M29" s="26" t="s">
        <v>31</v>
      </c>
      <c r="N29" s="26" t="s">
        <v>1597</v>
      </c>
    </row>
    <row r="30" spans="1:14">
      <c r="A30" s="32" t="s">
        <v>1582</v>
      </c>
      <c r="B30" s="36">
        <v>1.0165</v>
      </c>
      <c r="C30" s="26" t="s">
        <v>37</v>
      </c>
      <c r="D30" s="26" t="s">
        <v>2</v>
      </c>
      <c r="E30" s="26" t="s">
        <v>29</v>
      </c>
      <c r="F30" s="26" t="s">
        <v>14</v>
      </c>
      <c r="G30" s="26" t="s">
        <v>33</v>
      </c>
      <c r="H30" s="26">
        <v>2</v>
      </c>
      <c r="I30" s="26">
        <f>LN(B30)</f>
        <v>1.636535408626423E-2</v>
      </c>
      <c r="J30" s="26">
        <v>0.22500000000000006</v>
      </c>
      <c r="K30" s="26" t="s">
        <v>31</v>
      </c>
      <c r="L30" s="26" t="s">
        <v>31</v>
      </c>
      <c r="M30" s="26" t="s">
        <v>31</v>
      </c>
      <c r="N30" s="26"/>
    </row>
    <row r="31" spans="1:14">
      <c r="A31" s="26" t="s">
        <v>480</v>
      </c>
      <c r="B31" s="33">
        <f>1.315568531/(16666667*30)</f>
        <v>2.6311370093772598E-9</v>
      </c>
      <c r="C31" s="34" t="s">
        <v>37</v>
      </c>
      <c r="D31" s="26" t="s">
        <v>40</v>
      </c>
      <c r="E31" s="26" t="s">
        <v>29</v>
      </c>
      <c r="F31" s="26" t="s">
        <v>128</v>
      </c>
      <c r="G31" s="26" t="s">
        <v>33</v>
      </c>
      <c r="H31" s="26">
        <v>2</v>
      </c>
      <c r="I31" s="26">
        <f t="shared" ref="I31:I37" si="1">LN(B31)</f>
        <v>-19.755849761224248</v>
      </c>
      <c r="J31" s="26">
        <v>0.22500000000000006</v>
      </c>
      <c r="K31" s="26" t="s">
        <v>31</v>
      </c>
      <c r="L31" s="26" t="s">
        <v>31</v>
      </c>
      <c r="M31" s="26" t="s">
        <v>31</v>
      </c>
      <c r="N31" s="32" t="s">
        <v>1598</v>
      </c>
    </row>
    <row r="32" spans="1:14">
      <c r="A32" s="32" t="s">
        <v>1599</v>
      </c>
      <c r="B32" s="33">
        <f>4.220239644/(16666667*30)</f>
        <v>8.4404791191904185E-9</v>
      </c>
      <c r="C32" s="26" t="s">
        <v>37</v>
      </c>
      <c r="D32" s="26" t="s">
        <v>40</v>
      </c>
      <c r="E32" s="26" t="s">
        <v>29</v>
      </c>
      <c r="F32" s="26" t="s">
        <v>58</v>
      </c>
      <c r="G32" s="26" t="s">
        <v>33</v>
      </c>
      <c r="H32" s="26">
        <v>2</v>
      </c>
      <c r="I32" s="26">
        <f t="shared" si="1"/>
        <v>-18.590226762273179</v>
      </c>
      <c r="J32" s="26">
        <v>0.22500000000000006</v>
      </c>
      <c r="K32" s="26" t="s">
        <v>31</v>
      </c>
      <c r="L32" s="26" t="s">
        <v>31</v>
      </c>
      <c r="M32" s="26" t="s">
        <v>31</v>
      </c>
      <c r="N32" s="32" t="s">
        <v>1598</v>
      </c>
    </row>
    <row r="33" spans="1:14">
      <c r="A33" s="32" t="s">
        <v>1600</v>
      </c>
      <c r="B33" s="33">
        <f>3.568968094/(16666667*30)</f>
        <v>7.137936045241279E-9</v>
      </c>
      <c r="C33" s="26" t="s">
        <v>37</v>
      </c>
      <c r="D33" s="26" t="s">
        <v>40</v>
      </c>
      <c r="E33" s="26" t="s">
        <v>29</v>
      </c>
      <c r="F33" s="26" t="s">
        <v>58</v>
      </c>
      <c r="G33" s="26" t="s">
        <v>33</v>
      </c>
      <c r="H33" s="26">
        <v>2</v>
      </c>
      <c r="I33" s="26">
        <f t="shared" si="1"/>
        <v>-18.757842171677439</v>
      </c>
      <c r="J33" s="26">
        <v>0.22500000000000006</v>
      </c>
      <c r="K33" s="26" t="s">
        <v>31</v>
      </c>
      <c r="L33" s="26" t="s">
        <v>31</v>
      </c>
      <c r="M33" s="26" t="s">
        <v>31</v>
      </c>
      <c r="N33" s="32" t="s">
        <v>1598</v>
      </c>
    </row>
    <row r="34" spans="1:14">
      <c r="A34" s="32" t="s">
        <v>1601</v>
      </c>
      <c r="B34" s="33">
        <f>0.403788361/(16666667*30)</f>
        <v>8.0757670584846585E-10</v>
      </c>
      <c r="C34" s="26" t="s">
        <v>37</v>
      </c>
      <c r="D34" s="26" t="s">
        <v>40</v>
      </c>
      <c r="E34" s="26" t="s">
        <v>29</v>
      </c>
      <c r="F34" s="26" t="s">
        <v>58</v>
      </c>
      <c r="G34" s="26" t="s">
        <v>33</v>
      </c>
      <c r="H34" s="26">
        <v>2</v>
      </c>
      <c r="I34" s="26">
        <f t="shared" si="1"/>
        <v>-20.936983073580361</v>
      </c>
      <c r="J34" s="26">
        <v>0.22500000000000006</v>
      </c>
      <c r="K34" s="26" t="s">
        <v>31</v>
      </c>
      <c r="L34" s="26" t="s">
        <v>31</v>
      </c>
      <c r="M34" s="26" t="s">
        <v>31</v>
      </c>
      <c r="N34" s="32" t="s">
        <v>1598</v>
      </c>
    </row>
    <row r="35" spans="1:14">
      <c r="A35" s="32" t="s">
        <v>1602</v>
      </c>
      <c r="B35" s="33">
        <f>3.51686637/(16666667*30)</f>
        <v>7.0337325993253476E-9</v>
      </c>
      <c r="C35" s="26" t="s">
        <v>37</v>
      </c>
      <c r="D35" s="26" t="s">
        <v>40</v>
      </c>
      <c r="E35" s="26" t="s">
        <v>29</v>
      </c>
      <c r="F35" s="26" t="s">
        <v>58</v>
      </c>
      <c r="G35" s="26" t="s">
        <v>33</v>
      </c>
      <c r="H35" s="26">
        <v>2</v>
      </c>
      <c r="I35" s="26">
        <f t="shared" si="1"/>
        <v>-18.772548319067134</v>
      </c>
      <c r="J35" s="26">
        <v>0.22500000000000006</v>
      </c>
      <c r="K35" s="26" t="s">
        <v>31</v>
      </c>
      <c r="L35" s="26" t="s">
        <v>31</v>
      </c>
      <c r="M35" s="26" t="s">
        <v>31</v>
      </c>
      <c r="N35" s="32" t="s">
        <v>1598</v>
      </c>
    </row>
    <row r="36" spans="1:14">
      <c r="A36" s="32" t="s">
        <v>38</v>
      </c>
      <c r="B36" s="36">
        <v>10.2049</v>
      </c>
      <c r="C36" s="26" t="s">
        <v>39</v>
      </c>
      <c r="D36" s="26" t="s">
        <v>40</v>
      </c>
      <c r="E36" s="26" t="s">
        <v>29</v>
      </c>
      <c r="F36" s="26" t="s">
        <v>14</v>
      </c>
      <c r="G36" s="26" t="s">
        <v>33</v>
      </c>
      <c r="H36" s="26">
        <v>2</v>
      </c>
      <c r="I36" s="26">
        <f t="shared" si="1"/>
        <v>2.3228679970957171</v>
      </c>
      <c r="J36" s="26">
        <v>0.22500000000000006</v>
      </c>
      <c r="K36" s="26" t="s">
        <v>31</v>
      </c>
      <c r="L36" s="26" t="s">
        <v>31</v>
      </c>
      <c r="M36" s="26" t="s">
        <v>31</v>
      </c>
      <c r="N36" s="32" t="s">
        <v>1598</v>
      </c>
    </row>
    <row r="37" spans="1:14">
      <c r="A37" s="32" t="s">
        <v>79</v>
      </c>
      <c r="B37" s="36">
        <f>0.015*1000</f>
        <v>15</v>
      </c>
      <c r="C37" s="26" t="s">
        <v>37</v>
      </c>
      <c r="D37" s="26" t="s">
        <v>40</v>
      </c>
      <c r="E37" s="26" t="s">
        <v>29</v>
      </c>
      <c r="F37" s="26" t="s">
        <v>58</v>
      </c>
      <c r="G37" s="26" t="s">
        <v>33</v>
      </c>
      <c r="H37" s="26">
        <v>2</v>
      </c>
      <c r="I37" s="26">
        <f t="shared" si="1"/>
        <v>2.7080502011022101</v>
      </c>
      <c r="J37" s="26">
        <v>0.22500000000000006</v>
      </c>
      <c r="K37" s="26" t="s">
        <v>31</v>
      </c>
      <c r="L37" s="26" t="s">
        <v>31</v>
      </c>
      <c r="M37" s="26" t="s">
        <v>31</v>
      </c>
      <c r="N37" s="32"/>
    </row>
    <row r="38" spans="1:14">
      <c r="A38" s="32" t="s">
        <v>1603</v>
      </c>
      <c r="B38" s="36">
        <v>1.6498815311874998E-2</v>
      </c>
      <c r="C38" s="26" t="s">
        <v>37</v>
      </c>
      <c r="D38" s="26" t="s">
        <v>43</v>
      </c>
      <c r="E38" s="26" t="s">
        <v>44</v>
      </c>
      <c r="F38" s="26" t="s">
        <v>31</v>
      </c>
      <c r="G38" s="26" t="s">
        <v>45</v>
      </c>
      <c r="H38" s="26">
        <v>2</v>
      </c>
      <c r="I38" s="26">
        <f>LN(B38)</f>
        <v>-4.1044666999335968</v>
      </c>
      <c r="J38" s="26">
        <v>0.22500000000000006</v>
      </c>
      <c r="K38" s="26" t="s">
        <v>31</v>
      </c>
      <c r="L38" s="26" t="s">
        <v>31</v>
      </c>
      <c r="M38" s="26" t="s">
        <v>31</v>
      </c>
      <c r="N38" s="32"/>
    </row>
    <row r="39" spans="1:14" ht="15.75">
      <c r="A39" s="29" t="s">
        <v>5</v>
      </c>
      <c r="B39" s="29" t="s">
        <v>36</v>
      </c>
      <c r="C39" s="30"/>
      <c r="D39" s="31"/>
      <c r="E39" s="31"/>
      <c r="F39" s="31"/>
      <c r="G39" s="31"/>
      <c r="H39" s="31"/>
      <c r="I39" s="31"/>
      <c r="J39" s="31"/>
      <c r="K39" s="31"/>
      <c r="L39" s="31"/>
      <c r="M39" s="31"/>
      <c r="N39" s="31"/>
    </row>
    <row r="40" spans="1:14">
      <c r="A40" s="26" t="s">
        <v>7</v>
      </c>
      <c r="B40" s="26" t="s">
        <v>1583</v>
      </c>
      <c r="C40" s="26"/>
      <c r="D40" s="26"/>
      <c r="E40" s="26"/>
      <c r="F40" s="26"/>
      <c r="G40" s="26"/>
      <c r="H40" s="26"/>
      <c r="I40" s="26"/>
      <c r="J40" s="26"/>
      <c r="K40" s="26"/>
      <c r="L40" s="26"/>
      <c r="M40" s="26"/>
      <c r="N40" s="26"/>
    </row>
    <row r="41" spans="1:14">
      <c r="A41" s="26" t="s">
        <v>9</v>
      </c>
      <c r="B41" s="26" t="s">
        <v>1604</v>
      </c>
      <c r="C41" s="26"/>
      <c r="D41" s="26"/>
      <c r="E41" s="26"/>
      <c r="F41" s="26"/>
      <c r="G41" s="26"/>
      <c r="H41" s="26"/>
      <c r="I41" s="26"/>
      <c r="J41" s="26"/>
      <c r="K41" s="26"/>
      <c r="L41" s="26"/>
      <c r="M41" s="26"/>
      <c r="N41" s="26"/>
    </row>
    <row r="42" spans="1:14">
      <c r="A42" s="26" t="s">
        <v>11</v>
      </c>
      <c r="B42" s="26" t="s">
        <v>1605</v>
      </c>
      <c r="C42" s="26"/>
      <c r="D42" s="26"/>
      <c r="E42" s="26"/>
      <c r="F42" s="26"/>
      <c r="G42" s="26"/>
      <c r="H42" s="26"/>
      <c r="I42" s="26"/>
      <c r="J42" s="26"/>
      <c r="K42" s="26"/>
      <c r="L42" s="26"/>
      <c r="M42" s="26"/>
      <c r="N42" s="26"/>
    </row>
    <row r="43" spans="1:14">
      <c r="A43" s="26" t="s">
        <v>13</v>
      </c>
      <c r="B43" s="26" t="s">
        <v>14</v>
      </c>
      <c r="C43" s="26"/>
      <c r="D43" s="26"/>
      <c r="E43" s="26"/>
      <c r="F43" s="26"/>
      <c r="G43" s="26"/>
      <c r="H43" s="26"/>
      <c r="I43" s="26"/>
      <c r="J43" s="26"/>
      <c r="K43" s="26"/>
      <c r="L43" s="26"/>
      <c r="M43" s="26"/>
      <c r="N43" s="26"/>
    </row>
    <row r="44" spans="1:14">
      <c r="A44" s="26" t="s">
        <v>15</v>
      </c>
      <c r="B44" s="32">
        <v>1</v>
      </c>
      <c r="C44" s="26"/>
      <c r="D44" s="26"/>
      <c r="E44" s="26"/>
      <c r="F44" s="26"/>
      <c r="G44" s="26"/>
      <c r="H44" s="26"/>
      <c r="I44" s="26"/>
      <c r="J44" s="26"/>
      <c r="K44" s="26"/>
      <c r="L44" s="26"/>
      <c r="M44" s="26"/>
      <c r="N44" s="26"/>
    </row>
    <row r="45" spans="1:14">
      <c r="A45" s="26" t="s">
        <v>16</v>
      </c>
      <c r="B45" s="26" t="s">
        <v>17</v>
      </c>
      <c r="C45" s="26"/>
      <c r="D45" s="26"/>
      <c r="E45" s="26"/>
      <c r="F45" s="26"/>
      <c r="G45" s="26"/>
      <c r="H45" s="26"/>
      <c r="I45" s="26"/>
      <c r="J45" s="26"/>
      <c r="K45" s="26"/>
      <c r="L45" s="26"/>
      <c r="M45" s="26"/>
      <c r="N45" s="26"/>
    </row>
    <row r="46" spans="1:14">
      <c r="A46" s="26" t="s">
        <v>18</v>
      </c>
      <c r="B46" s="26" t="s">
        <v>37</v>
      </c>
      <c r="C46" s="26"/>
      <c r="D46" s="26"/>
      <c r="E46" s="26"/>
      <c r="F46" s="26"/>
      <c r="G46" s="26"/>
      <c r="H46" s="26"/>
      <c r="I46" s="26"/>
      <c r="J46" s="26"/>
      <c r="K46" s="26"/>
      <c r="L46" s="26"/>
      <c r="M46" s="26"/>
      <c r="N46" s="26"/>
    </row>
    <row r="47" spans="1:14" ht="15.75">
      <c r="A47" s="27" t="s">
        <v>19</v>
      </c>
    </row>
    <row r="48" spans="1:14" ht="15.75">
      <c r="A48" s="27" t="s">
        <v>20</v>
      </c>
      <c r="B48" s="27" t="s">
        <v>21</v>
      </c>
      <c r="C48" s="27" t="s">
        <v>18</v>
      </c>
      <c r="D48" s="27" t="s">
        <v>22</v>
      </c>
      <c r="E48" s="27" t="s">
        <v>7</v>
      </c>
      <c r="F48" s="27" t="s">
        <v>13</v>
      </c>
      <c r="G48" s="27" t="s">
        <v>16</v>
      </c>
      <c r="H48" s="27" t="s">
        <v>23</v>
      </c>
      <c r="I48" s="27" t="s">
        <v>24</v>
      </c>
      <c r="J48" s="27" t="s">
        <v>25</v>
      </c>
      <c r="K48" s="27" t="s">
        <v>26</v>
      </c>
      <c r="L48" s="27" t="s">
        <v>27</v>
      </c>
      <c r="M48" s="27" t="s">
        <v>28</v>
      </c>
      <c r="N48" s="27" t="s">
        <v>68</v>
      </c>
    </row>
    <row r="49" spans="1:14">
      <c r="A49" s="26" t="s">
        <v>36</v>
      </c>
      <c r="B49" s="36">
        <f>B44</f>
        <v>1</v>
      </c>
      <c r="C49" s="26" t="str">
        <f>B46</f>
        <v>kilogram</v>
      </c>
      <c r="D49" s="26" t="s">
        <v>2</v>
      </c>
      <c r="E49" s="26" t="s">
        <v>29</v>
      </c>
      <c r="F49" s="26" t="str">
        <f>B43</f>
        <v>EUR</v>
      </c>
      <c r="G49" s="26" t="s">
        <v>30</v>
      </c>
      <c r="H49" s="26">
        <v>0</v>
      </c>
      <c r="I49" s="26">
        <f>B49</f>
        <v>1</v>
      </c>
      <c r="J49" s="26" t="s">
        <v>31</v>
      </c>
      <c r="K49" s="26" t="s">
        <v>31</v>
      </c>
      <c r="L49" s="26" t="s">
        <v>31</v>
      </c>
      <c r="M49" s="26" t="s">
        <v>31</v>
      </c>
      <c r="N49" s="26"/>
    </row>
    <row r="50" spans="1:14" s="26" customFormat="1" ht="12.75">
      <c r="A50" s="26" t="s">
        <v>1593</v>
      </c>
      <c r="B50" s="26">
        <f>1*1.0042</f>
        <v>1.0042</v>
      </c>
      <c r="C50" s="26" t="s">
        <v>37</v>
      </c>
      <c r="D50" s="26" t="s">
        <v>2</v>
      </c>
      <c r="E50" s="26" t="s">
        <v>29</v>
      </c>
      <c r="F50" s="26" t="s">
        <v>14</v>
      </c>
      <c r="G50" s="26" t="s">
        <v>33</v>
      </c>
      <c r="H50" s="26">
        <v>0</v>
      </c>
      <c r="I50" s="26">
        <f>B50</f>
        <v>1.0042</v>
      </c>
      <c r="J50" s="26" t="s">
        <v>31</v>
      </c>
      <c r="K50" s="26" t="s">
        <v>31</v>
      </c>
      <c r="L50" s="26" t="s">
        <v>31</v>
      </c>
      <c r="M50" s="26" t="s">
        <v>31</v>
      </c>
    </row>
    <row r="51" spans="1:14" s="26" customFormat="1" ht="12.75">
      <c r="A51" s="26" t="s">
        <v>1606</v>
      </c>
      <c r="B51" s="26">
        <v>1</v>
      </c>
      <c r="C51" s="26" t="s">
        <v>18</v>
      </c>
      <c r="D51" s="26" t="s">
        <v>2</v>
      </c>
      <c r="E51" s="26" t="s">
        <v>29</v>
      </c>
      <c r="F51" s="26" t="s">
        <v>14</v>
      </c>
      <c r="G51" s="26" t="s">
        <v>33</v>
      </c>
      <c r="H51" s="26">
        <v>0</v>
      </c>
      <c r="I51" s="26">
        <f>B51</f>
        <v>1</v>
      </c>
      <c r="J51" s="26" t="s">
        <v>31</v>
      </c>
      <c r="K51" s="26" t="s">
        <v>31</v>
      </c>
      <c r="L51" s="26" t="s">
        <v>31</v>
      </c>
      <c r="M51" s="26" t="s">
        <v>31</v>
      </c>
    </row>
  </sheetData>
  <pageMargins left="0.7" right="0.7" top="0.75" bottom="0.75" header="0.3" footer="0.3"/>
  <pageSetup paperSize="9"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6C296-D07D-43DD-8FDA-B7E9CCB32178}">
  <dimension ref="A1:O266"/>
  <sheetViews>
    <sheetView topLeftCell="A214" zoomScale="70" zoomScaleNormal="70" workbookViewId="0">
      <selection activeCell="L223" sqref="L223"/>
    </sheetView>
  </sheetViews>
  <sheetFormatPr defaultColWidth="8.85546875" defaultRowHeight="15"/>
  <cols>
    <col min="1" max="1" width="48.5703125" style="24" bestFit="1" customWidth="1"/>
    <col min="2" max="2" width="43.42578125" style="24" bestFit="1" customWidth="1"/>
    <col min="3" max="3" width="10.140625" style="24"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5">
      <c r="A1" s="24" t="s">
        <v>0</v>
      </c>
      <c r="B1" s="24">
        <v>13</v>
      </c>
      <c r="C1" s="25"/>
      <c r="O1" s="26" t="str">
        <f ca="1">UPPER(CONCATENATE(DEC2HEX(RANDBETWEEN(0,POWER(16,8)),8),DEC2HEX(RANDBETWEEN(0,POWER(16,4)),4),"4",DEC2HEX(RANDBETWEEN(0,POWER(16,3)),3),DEC2HEX(RANDBETWEEN(8,11)),DEC2HEX(RANDBETWEEN(0,POWER(16,3)),3),DEC2HEX(RANDBETWEEN(0,POWER(16,8)),8),DEC2HEX(RANDBETWEEN(0,POWER(16,4)),4)))</f>
        <v>941AA5EB963143E199EAA6CCBD712BE2</v>
      </c>
    </row>
    <row r="2" spans="1:15" ht="15.75">
      <c r="A2" s="29" t="s">
        <v>5</v>
      </c>
      <c r="B2" s="29" t="s">
        <v>1586</v>
      </c>
      <c r="C2" s="30"/>
      <c r="D2" s="31"/>
      <c r="E2" s="31"/>
      <c r="F2" s="31"/>
      <c r="G2" s="31"/>
      <c r="H2" s="31"/>
      <c r="I2" s="31"/>
      <c r="J2" s="31"/>
      <c r="K2" s="31"/>
      <c r="L2" s="31"/>
      <c r="M2" s="31"/>
      <c r="N2" s="31"/>
    </row>
    <row r="3" spans="1:15" s="26" customFormat="1" ht="12.75">
      <c r="A3" s="26" t="s">
        <v>7</v>
      </c>
      <c r="B3" s="26" t="s">
        <v>1583</v>
      </c>
    </row>
    <row r="4" spans="1:15" s="26" customFormat="1" ht="12.75">
      <c r="A4" s="26" t="s">
        <v>9</v>
      </c>
      <c r="B4" s="26" t="s">
        <v>1607</v>
      </c>
    </row>
    <row r="5" spans="1:15" s="26" customFormat="1" ht="12.75">
      <c r="A5" s="26" t="s">
        <v>11</v>
      </c>
      <c r="B5" s="26" t="s">
        <v>1608</v>
      </c>
    </row>
    <row r="6" spans="1:15" s="26" customFormat="1" ht="12.75">
      <c r="A6" s="26" t="s">
        <v>13</v>
      </c>
      <c r="B6" s="26" t="s">
        <v>14</v>
      </c>
    </row>
    <row r="7" spans="1:15" s="26" customFormat="1" ht="12.75">
      <c r="A7" s="26" t="s">
        <v>15</v>
      </c>
      <c r="B7" s="32">
        <v>1</v>
      </c>
    </row>
    <row r="8" spans="1:15" s="26" customFormat="1" ht="12.75">
      <c r="A8" s="26" t="s">
        <v>16</v>
      </c>
      <c r="B8" s="26" t="s">
        <v>17</v>
      </c>
    </row>
    <row r="9" spans="1:15" s="26" customFormat="1" ht="12.75">
      <c r="A9" s="26" t="s">
        <v>18</v>
      </c>
      <c r="B9" s="26" t="s">
        <v>18</v>
      </c>
    </row>
    <row r="10" spans="1:15" ht="15.75">
      <c r="A10" s="27" t="s">
        <v>19</v>
      </c>
    </row>
    <row r="11" spans="1:15" ht="15.75">
      <c r="A11" s="27" t="s">
        <v>20</v>
      </c>
      <c r="B11" s="27" t="s">
        <v>21</v>
      </c>
      <c r="C11" s="27" t="s">
        <v>18</v>
      </c>
      <c r="D11" s="27" t="s">
        <v>22</v>
      </c>
      <c r="E11" s="27" t="s">
        <v>7</v>
      </c>
      <c r="F11" s="27" t="s">
        <v>13</v>
      </c>
      <c r="G11" s="27" t="s">
        <v>16</v>
      </c>
      <c r="H11" s="27" t="s">
        <v>23</v>
      </c>
      <c r="I11" s="27" t="s">
        <v>24</v>
      </c>
      <c r="J11" s="27" t="s">
        <v>25</v>
      </c>
      <c r="K11" s="27" t="s">
        <v>26</v>
      </c>
      <c r="L11" s="27" t="s">
        <v>27</v>
      </c>
      <c r="M11" s="27" t="s">
        <v>28</v>
      </c>
      <c r="N11" s="27" t="s">
        <v>68</v>
      </c>
    </row>
    <row r="12" spans="1:15" s="26" customFormat="1" ht="12.75">
      <c r="A12" s="26" t="s">
        <v>1586</v>
      </c>
      <c r="B12" s="26">
        <f>B7</f>
        <v>1</v>
      </c>
      <c r="C12" s="26" t="str">
        <f>B9</f>
        <v>unit</v>
      </c>
      <c r="D12" s="26" t="s">
        <v>2</v>
      </c>
      <c r="E12" s="26" t="s">
        <v>29</v>
      </c>
      <c r="F12" s="26" t="str">
        <f>B6</f>
        <v>EUR</v>
      </c>
      <c r="G12" s="26" t="s">
        <v>30</v>
      </c>
      <c r="H12" s="26">
        <v>0</v>
      </c>
      <c r="I12" s="26">
        <f>B12</f>
        <v>1</v>
      </c>
      <c r="J12" s="26" t="s">
        <v>31</v>
      </c>
      <c r="K12" s="26" t="s">
        <v>31</v>
      </c>
      <c r="L12" s="26" t="s">
        <v>31</v>
      </c>
      <c r="M12" s="26" t="s">
        <v>31</v>
      </c>
    </row>
    <row r="13" spans="1:15" s="26" customFormat="1" ht="12.75">
      <c r="A13" s="32" t="s">
        <v>1609</v>
      </c>
      <c r="B13" s="34">
        <v>10</v>
      </c>
      <c r="C13" s="26" t="s">
        <v>18</v>
      </c>
      <c r="D13" s="26" t="s">
        <v>2</v>
      </c>
      <c r="E13" s="26" t="s">
        <v>29</v>
      </c>
      <c r="F13" s="26" t="s">
        <v>14</v>
      </c>
      <c r="G13" s="26" t="s">
        <v>33</v>
      </c>
      <c r="H13" s="26">
        <v>0</v>
      </c>
      <c r="I13" s="26">
        <f t="shared" ref="I13:I14" si="0">B13</f>
        <v>10</v>
      </c>
      <c r="J13" s="26" t="s">
        <v>31</v>
      </c>
      <c r="K13" s="26" t="s">
        <v>31</v>
      </c>
      <c r="L13" s="26" t="s">
        <v>31</v>
      </c>
      <c r="M13" s="26" t="s">
        <v>31</v>
      </c>
    </row>
    <row r="14" spans="1:15">
      <c r="A14" s="32" t="s">
        <v>1610</v>
      </c>
      <c r="B14" s="34">
        <v>10</v>
      </c>
      <c r="C14" s="26" t="s">
        <v>18</v>
      </c>
      <c r="D14" s="26" t="s">
        <v>2</v>
      </c>
      <c r="E14" s="26" t="s">
        <v>29</v>
      </c>
      <c r="F14" s="24" t="s">
        <v>58</v>
      </c>
      <c r="G14" s="24" t="s">
        <v>33</v>
      </c>
      <c r="H14" s="26">
        <v>0</v>
      </c>
      <c r="I14" s="26">
        <f t="shared" si="0"/>
        <v>10</v>
      </c>
      <c r="J14" s="26" t="s">
        <v>31</v>
      </c>
      <c r="K14" s="26" t="s">
        <v>31</v>
      </c>
      <c r="L14" s="26" t="s">
        <v>31</v>
      </c>
      <c r="M14" s="26" t="s">
        <v>31</v>
      </c>
    </row>
    <row r="15" spans="1:15" ht="15.75">
      <c r="A15" s="29" t="s">
        <v>5</v>
      </c>
      <c r="B15" s="29" t="s">
        <v>1609</v>
      </c>
      <c r="C15" s="30"/>
      <c r="D15" s="31"/>
      <c r="E15" s="31"/>
      <c r="F15" s="31"/>
      <c r="G15" s="31"/>
      <c r="H15" s="31"/>
      <c r="I15" s="31"/>
      <c r="J15" s="31"/>
      <c r="K15" s="31"/>
      <c r="L15" s="31"/>
      <c r="M15" s="31"/>
      <c r="N15" s="31"/>
    </row>
    <row r="16" spans="1:15" s="26" customFormat="1" ht="12.75">
      <c r="A16" s="26" t="s">
        <v>7</v>
      </c>
      <c r="B16" s="26" t="s">
        <v>1583</v>
      </c>
    </row>
    <row r="17" spans="1:14" s="26" customFormat="1" ht="12.75">
      <c r="A17" s="26" t="s">
        <v>9</v>
      </c>
      <c r="B17" s="26" t="s">
        <v>1611</v>
      </c>
    </row>
    <row r="18" spans="1:14" s="26" customFormat="1" ht="12.75">
      <c r="A18" s="26" t="s">
        <v>11</v>
      </c>
      <c r="B18" s="26" t="s">
        <v>1612</v>
      </c>
    </row>
    <row r="19" spans="1:14" s="26" customFormat="1" ht="12.75">
      <c r="A19" s="26" t="s">
        <v>13</v>
      </c>
      <c r="B19" s="26" t="s">
        <v>14</v>
      </c>
    </row>
    <row r="20" spans="1:14" s="26" customFormat="1" ht="12.75">
      <c r="A20" s="26" t="s">
        <v>15</v>
      </c>
      <c r="B20" s="32">
        <v>1</v>
      </c>
    </row>
    <row r="21" spans="1:14" s="26" customFormat="1" ht="12.75">
      <c r="A21" s="26" t="s">
        <v>16</v>
      </c>
      <c r="B21" s="26" t="s">
        <v>17</v>
      </c>
    </row>
    <row r="22" spans="1:14" s="26" customFormat="1" ht="12.75">
      <c r="A22" s="26" t="s">
        <v>18</v>
      </c>
      <c r="B22" s="26" t="s">
        <v>18</v>
      </c>
    </row>
    <row r="23" spans="1:14" ht="15.75">
      <c r="A23" s="27" t="s">
        <v>19</v>
      </c>
    </row>
    <row r="24" spans="1:14" ht="15.75">
      <c r="A24" s="27" t="s">
        <v>20</v>
      </c>
      <c r="B24" s="27" t="s">
        <v>21</v>
      </c>
      <c r="C24" s="27" t="s">
        <v>18</v>
      </c>
      <c r="D24" s="27" t="s">
        <v>22</v>
      </c>
      <c r="E24" s="27" t="s">
        <v>7</v>
      </c>
      <c r="F24" s="27" t="s">
        <v>13</v>
      </c>
      <c r="G24" s="27" t="s">
        <v>16</v>
      </c>
      <c r="H24" s="27" t="s">
        <v>23</v>
      </c>
      <c r="I24" s="27" t="s">
        <v>24</v>
      </c>
      <c r="J24" s="27" t="s">
        <v>25</v>
      </c>
      <c r="K24" s="27" t="s">
        <v>26</v>
      </c>
      <c r="L24" s="27" t="s">
        <v>27</v>
      </c>
      <c r="M24" s="27" t="s">
        <v>28</v>
      </c>
      <c r="N24" s="27" t="s">
        <v>68</v>
      </c>
    </row>
    <row r="25" spans="1:14" s="26" customFormat="1" ht="12.75">
      <c r="A25" s="26" t="s">
        <v>1609</v>
      </c>
      <c r="B25" s="26">
        <f>B20</f>
        <v>1</v>
      </c>
      <c r="C25" s="26" t="str">
        <f>B22</f>
        <v>unit</v>
      </c>
      <c r="D25" s="26" t="s">
        <v>2</v>
      </c>
      <c r="E25" s="26" t="s">
        <v>29</v>
      </c>
      <c r="F25" s="26" t="str">
        <f>B19</f>
        <v>EUR</v>
      </c>
      <c r="G25" s="26" t="s">
        <v>30</v>
      </c>
      <c r="H25" s="26">
        <v>0</v>
      </c>
      <c r="I25" s="26">
        <f>B25</f>
        <v>1</v>
      </c>
      <c r="J25" s="26" t="s">
        <v>31</v>
      </c>
      <c r="K25" s="26" t="s">
        <v>31</v>
      </c>
      <c r="L25" s="26" t="s">
        <v>31</v>
      </c>
      <c r="M25" s="26" t="s">
        <v>31</v>
      </c>
    </row>
    <row r="26" spans="1:14" s="26" customFormat="1" ht="12.75">
      <c r="A26" s="32" t="s">
        <v>1613</v>
      </c>
      <c r="B26" s="35">
        <v>0.17655925778457376</v>
      </c>
      <c r="C26" s="26" t="s">
        <v>18</v>
      </c>
      <c r="D26" s="26" t="s">
        <v>2</v>
      </c>
      <c r="E26" s="26" t="s">
        <v>29</v>
      </c>
      <c r="F26" s="26" t="s">
        <v>14</v>
      </c>
      <c r="G26" s="26" t="s">
        <v>33</v>
      </c>
      <c r="H26" s="26">
        <v>2</v>
      </c>
      <c r="I26" s="26">
        <f>LN(B26)</f>
        <v>-1.7340987208000034</v>
      </c>
      <c r="J26" s="26">
        <v>1</v>
      </c>
      <c r="K26" s="26" t="s">
        <v>31</v>
      </c>
      <c r="L26" s="26" t="s">
        <v>31</v>
      </c>
      <c r="M26" s="26" t="s">
        <v>31</v>
      </c>
    </row>
    <row r="27" spans="1:14" s="26" customFormat="1" ht="12.75">
      <c r="A27" s="32" t="s">
        <v>1614</v>
      </c>
      <c r="B27" s="35">
        <v>0.2467047044393175</v>
      </c>
      <c r="C27" s="26" t="s">
        <v>18</v>
      </c>
      <c r="D27" s="26" t="s">
        <v>2</v>
      </c>
      <c r="E27" s="26" t="s">
        <v>29</v>
      </c>
      <c r="F27" s="26" t="s">
        <v>14</v>
      </c>
      <c r="G27" s="26" t="s">
        <v>33</v>
      </c>
      <c r="H27" s="26">
        <v>2</v>
      </c>
      <c r="I27" s="26">
        <f>LN(B27)</f>
        <v>-1.399563186154315</v>
      </c>
      <c r="J27" s="26">
        <v>1</v>
      </c>
      <c r="K27" s="26" t="s">
        <v>31</v>
      </c>
      <c r="L27" s="26" t="s">
        <v>31</v>
      </c>
      <c r="M27" s="26" t="s">
        <v>31</v>
      </c>
    </row>
    <row r="28" spans="1:14" s="26" customFormat="1" ht="12.75">
      <c r="A28" s="32" t="s">
        <v>1615</v>
      </c>
      <c r="B28" s="35">
        <v>0.57673603777610871</v>
      </c>
      <c r="C28" s="26" t="s">
        <v>18</v>
      </c>
      <c r="D28" s="26" t="s">
        <v>2</v>
      </c>
      <c r="E28" s="26" t="s">
        <v>29</v>
      </c>
      <c r="F28" s="26" t="s">
        <v>14</v>
      </c>
      <c r="G28" s="26" t="s">
        <v>33</v>
      </c>
      <c r="H28" s="26">
        <v>2</v>
      </c>
      <c r="I28" s="26">
        <f>LN(B28)</f>
        <v>-0.55037059067191674</v>
      </c>
      <c r="J28" s="26">
        <v>1</v>
      </c>
      <c r="K28" s="26" t="s">
        <v>31</v>
      </c>
      <c r="L28" s="26" t="s">
        <v>31</v>
      </c>
      <c r="M28" s="26" t="s">
        <v>31</v>
      </c>
    </row>
    <row r="29" spans="1:14" ht="15.75">
      <c r="A29" s="29" t="s">
        <v>5</v>
      </c>
      <c r="B29" s="29" t="s">
        <v>1613</v>
      </c>
      <c r="C29" s="30"/>
      <c r="D29" s="31"/>
      <c r="E29" s="31"/>
      <c r="F29" s="31"/>
      <c r="G29" s="31"/>
      <c r="H29" s="31"/>
      <c r="I29" s="31"/>
      <c r="J29" s="31"/>
      <c r="K29" s="31"/>
      <c r="L29" s="31"/>
      <c r="M29" s="31"/>
      <c r="N29" s="31"/>
    </row>
    <row r="30" spans="1:14" s="26" customFormat="1" ht="12.75">
      <c r="A30" s="26" t="s">
        <v>7</v>
      </c>
      <c r="B30" s="26" t="s">
        <v>1583</v>
      </c>
    </row>
    <row r="31" spans="1:14" s="26" customFormat="1" ht="12.75">
      <c r="A31" s="26" t="s">
        <v>9</v>
      </c>
      <c r="B31" s="26" t="s">
        <v>1616</v>
      </c>
    </row>
    <row r="32" spans="1:14" s="26" customFormat="1" ht="12.75">
      <c r="A32" s="26" t="s">
        <v>11</v>
      </c>
      <c r="B32" s="26" t="s">
        <v>1617</v>
      </c>
    </row>
    <row r="33" spans="1:14" s="26" customFormat="1" ht="12.75">
      <c r="A33" s="26" t="s">
        <v>13</v>
      </c>
      <c r="B33" s="26" t="s">
        <v>14</v>
      </c>
    </row>
    <row r="34" spans="1:14" s="26" customFormat="1" ht="12.75">
      <c r="A34" s="26" t="s">
        <v>15</v>
      </c>
      <c r="B34" s="32">
        <v>1</v>
      </c>
    </row>
    <row r="35" spans="1:14" s="26" customFormat="1" ht="12.75">
      <c r="A35" s="26" t="s">
        <v>16</v>
      </c>
      <c r="B35" s="26" t="s">
        <v>17</v>
      </c>
    </row>
    <row r="36" spans="1:14" s="26" customFormat="1" ht="12.75">
      <c r="A36" s="26" t="s">
        <v>18</v>
      </c>
      <c r="B36" s="26" t="s">
        <v>18</v>
      </c>
    </row>
    <row r="37" spans="1:14" ht="15.75">
      <c r="A37" s="27" t="s">
        <v>19</v>
      </c>
    </row>
    <row r="38" spans="1:14" ht="15.75">
      <c r="A38" s="27" t="s">
        <v>20</v>
      </c>
      <c r="B38" s="27" t="s">
        <v>21</v>
      </c>
      <c r="C38" s="27" t="s">
        <v>18</v>
      </c>
      <c r="D38" s="27" t="s">
        <v>22</v>
      </c>
      <c r="E38" s="27" t="s">
        <v>7</v>
      </c>
      <c r="F38" s="27" t="s">
        <v>13</v>
      </c>
      <c r="G38" s="27" t="s">
        <v>16</v>
      </c>
      <c r="H38" s="27" t="s">
        <v>23</v>
      </c>
      <c r="I38" s="27" t="s">
        <v>24</v>
      </c>
      <c r="J38" s="27" t="s">
        <v>25</v>
      </c>
      <c r="K38" s="27" t="s">
        <v>26</v>
      </c>
      <c r="L38" s="27" t="s">
        <v>27</v>
      </c>
      <c r="M38" s="27" t="s">
        <v>28</v>
      </c>
      <c r="N38" s="27" t="s">
        <v>68</v>
      </c>
    </row>
    <row r="39" spans="1:14" s="26" customFormat="1" ht="12.75">
      <c r="A39" s="26" t="s">
        <v>1613</v>
      </c>
      <c r="B39" s="26">
        <f>B34</f>
        <v>1</v>
      </c>
      <c r="C39" s="26" t="str">
        <f>B36</f>
        <v>unit</v>
      </c>
      <c r="D39" s="26" t="s">
        <v>2</v>
      </c>
      <c r="E39" s="26" t="s">
        <v>29</v>
      </c>
      <c r="F39" s="26" t="str">
        <f>B33</f>
        <v>EUR</v>
      </c>
      <c r="G39" s="26" t="s">
        <v>30</v>
      </c>
      <c r="H39" s="26">
        <v>0</v>
      </c>
      <c r="I39" s="26">
        <f>B39</f>
        <v>1</v>
      </c>
      <c r="J39" s="26" t="s">
        <v>31</v>
      </c>
      <c r="K39" s="26" t="s">
        <v>31</v>
      </c>
      <c r="L39" s="26" t="s">
        <v>31</v>
      </c>
      <c r="M39" s="26" t="s">
        <v>31</v>
      </c>
    </row>
    <row r="40" spans="1:14" s="26" customFormat="1" ht="12.75">
      <c r="A40" s="26" t="s">
        <v>704</v>
      </c>
      <c r="B40" s="26">
        <v>164429.23565969538</v>
      </c>
      <c r="C40" s="26" t="s">
        <v>37</v>
      </c>
      <c r="D40" s="26" t="s">
        <v>40</v>
      </c>
      <c r="E40" s="26" t="s">
        <v>29</v>
      </c>
      <c r="F40" s="26" t="s">
        <v>58</v>
      </c>
      <c r="G40" s="26" t="s">
        <v>33</v>
      </c>
      <c r="H40" s="26">
        <v>2</v>
      </c>
      <c r="I40" s="26">
        <f>LN(B40)</f>
        <v>12.010235578273795</v>
      </c>
      <c r="J40" s="26">
        <v>1</v>
      </c>
      <c r="K40" s="26" t="s">
        <v>31</v>
      </c>
      <c r="L40" s="26" t="s">
        <v>31</v>
      </c>
      <c r="M40" s="26" t="s">
        <v>31</v>
      </c>
    </row>
    <row r="41" spans="1:14" s="26" customFormat="1" ht="12.75">
      <c r="A41" s="26" t="s">
        <v>682</v>
      </c>
      <c r="B41" s="26">
        <v>24.000180357558872</v>
      </c>
      <c r="C41" s="26" t="s">
        <v>37</v>
      </c>
      <c r="D41" s="26" t="s">
        <v>40</v>
      </c>
      <c r="E41" s="26" t="s">
        <v>29</v>
      </c>
      <c r="F41" s="26" t="s">
        <v>58</v>
      </c>
      <c r="G41" s="26" t="s">
        <v>33</v>
      </c>
      <c r="H41" s="26">
        <v>2</v>
      </c>
      <c r="I41" s="26">
        <f t="shared" ref="I41:I57" si="1">LN(B41)</f>
        <v>3.1780613452179951</v>
      </c>
      <c r="J41" s="26">
        <v>1</v>
      </c>
      <c r="K41" s="26" t="s">
        <v>31</v>
      </c>
      <c r="L41" s="26" t="s">
        <v>31</v>
      </c>
      <c r="M41" s="26" t="s">
        <v>31</v>
      </c>
    </row>
    <row r="42" spans="1:14" s="26" customFormat="1" ht="12.75">
      <c r="A42" s="32" t="s">
        <v>600</v>
      </c>
      <c r="B42" s="34">
        <v>24.000180357558872</v>
      </c>
      <c r="C42" s="26" t="s">
        <v>37</v>
      </c>
      <c r="D42" s="26" t="s">
        <v>40</v>
      </c>
      <c r="E42" s="26" t="s">
        <v>29</v>
      </c>
      <c r="F42" s="26" t="s">
        <v>58</v>
      </c>
      <c r="G42" s="26" t="s">
        <v>33</v>
      </c>
      <c r="H42" s="26">
        <v>2</v>
      </c>
      <c r="I42" s="26">
        <f t="shared" si="1"/>
        <v>3.1780613452179951</v>
      </c>
      <c r="J42" s="26">
        <v>1</v>
      </c>
      <c r="K42" s="26" t="s">
        <v>31</v>
      </c>
      <c r="L42" s="26" t="s">
        <v>31</v>
      </c>
      <c r="M42" s="26" t="s">
        <v>31</v>
      </c>
    </row>
    <row r="43" spans="1:14" s="26" customFormat="1" ht="12.75">
      <c r="A43" s="26" t="s">
        <v>682</v>
      </c>
      <c r="B43" s="34">
        <v>331278.48950544471</v>
      </c>
      <c r="C43" s="26" t="s">
        <v>37</v>
      </c>
      <c r="D43" s="26" t="s">
        <v>40</v>
      </c>
      <c r="E43" s="26" t="s">
        <v>29</v>
      </c>
      <c r="F43" s="26" t="s">
        <v>58</v>
      </c>
      <c r="G43" s="26" t="s">
        <v>33</v>
      </c>
      <c r="H43" s="26">
        <v>2</v>
      </c>
      <c r="I43" s="26">
        <f t="shared" si="1"/>
        <v>12.710714658638434</v>
      </c>
      <c r="J43" s="26">
        <v>1</v>
      </c>
      <c r="K43" s="26" t="s">
        <v>31</v>
      </c>
      <c r="L43" s="26" t="s">
        <v>31</v>
      </c>
      <c r="M43" s="26" t="s">
        <v>31</v>
      </c>
    </row>
    <row r="44" spans="1:14" s="26" customFormat="1" ht="12.75">
      <c r="A44" s="26" t="s">
        <v>1618</v>
      </c>
      <c r="B44" s="34">
        <v>5170.4388550300991</v>
      </c>
      <c r="C44" s="26" t="s">
        <v>37</v>
      </c>
      <c r="D44" s="26" t="s">
        <v>40</v>
      </c>
      <c r="E44" s="26" t="s">
        <v>29</v>
      </c>
      <c r="F44" s="26" t="s">
        <v>1619</v>
      </c>
      <c r="G44" s="26" t="s">
        <v>33</v>
      </c>
      <c r="H44" s="26">
        <v>2</v>
      </c>
      <c r="I44" s="26">
        <f t="shared" si="1"/>
        <v>8.5507128488187352</v>
      </c>
      <c r="J44" s="26">
        <v>1</v>
      </c>
      <c r="K44" s="26" t="s">
        <v>31</v>
      </c>
      <c r="L44" s="26" t="s">
        <v>31</v>
      </c>
      <c r="M44" s="26" t="s">
        <v>31</v>
      </c>
    </row>
    <row r="45" spans="1:14" s="26" customFormat="1" ht="12.75">
      <c r="A45" s="26" t="s">
        <v>1620</v>
      </c>
      <c r="B45" s="34">
        <v>4672.0351096047934</v>
      </c>
      <c r="C45" s="26" t="s">
        <v>37</v>
      </c>
      <c r="D45" s="26" t="s">
        <v>40</v>
      </c>
      <c r="E45" s="26" t="s">
        <v>29</v>
      </c>
      <c r="F45" s="26" t="s">
        <v>58</v>
      </c>
      <c r="G45" s="26" t="s">
        <v>33</v>
      </c>
      <c r="H45" s="26">
        <v>2</v>
      </c>
      <c r="I45" s="26">
        <f t="shared" si="1"/>
        <v>8.4493500393781122</v>
      </c>
      <c r="J45" s="26">
        <v>1</v>
      </c>
      <c r="K45" s="26" t="s">
        <v>31</v>
      </c>
      <c r="L45" s="26" t="s">
        <v>31</v>
      </c>
      <c r="M45" s="26" t="s">
        <v>31</v>
      </c>
    </row>
    <row r="46" spans="1:14" s="26" customFormat="1" ht="12.75">
      <c r="A46" s="26" t="s">
        <v>1621</v>
      </c>
      <c r="B46" s="34">
        <v>152.00114226453951</v>
      </c>
      <c r="C46" s="26" t="s">
        <v>37</v>
      </c>
      <c r="D46" s="26" t="s">
        <v>40</v>
      </c>
      <c r="E46" s="26" t="s">
        <v>29</v>
      </c>
      <c r="F46" s="26" t="s">
        <v>35</v>
      </c>
      <c r="G46" s="26" t="s">
        <v>33</v>
      </c>
      <c r="H46" s="26">
        <v>2</v>
      </c>
      <c r="I46" s="26">
        <f t="shared" si="1"/>
        <v>5.0238880357163263</v>
      </c>
      <c r="J46" s="26">
        <v>1</v>
      </c>
      <c r="K46" s="26" t="s">
        <v>31</v>
      </c>
      <c r="L46" s="26" t="s">
        <v>31</v>
      </c>
      <c r="M46" s="26" t="s">
        <v>31</v>
      </c>
    </row>
    <row r="47" spans="1:14" s="26" customFormat="1" ht="12.75">
      <c r="A47" s="26" t="s">
        <v>1620</v>
      </c>
      <c r="B47" s="34">
        <v>24000.180357558871</v>
      </c>
      <c r="C47" s="26" t="s">
        <v>37</v>
      </c>
      <c r="D47" s="26" t="s">
        <v>40</v>
      </c>
      <c r="E47" s="26" t="s">
        <v>29</v>
      </c>
      <c r="F47" s="26" t="s">
        <v>58</v>
      </c>
      <c r="G47" s="26" t="s">
        <v>33</v>
      </c>
      <c r="H47" s="26">
        <v>2</v>
      </c>
      <c r="I47" s="26">
        <f t="shared" si="1"/>
        <v>10.085816624200133</v>
      </c>
      <c r="J47" s="26">
        <v>1</v>
      </c>
      <c r="K47" s="26" t="s">
        <v>31</v>
      </c>
      <c r="L47" s="26" t="s">
        <v>31</v>
      </c>
      <c r="M47" s="26" t="s">
        <v>31</v>
      </c>
    </row>
    <row r="48" spans="1:14" s="26" customFormat="1" ht="12.75">
      <c r="A48" s="26" t="s">
        <v>521</v>
      </c>
      <c r="B48" s="34">
        <v>17.333463591570297</v>
      </c>
      <c r="C48" s="26" t="s">
        <v>37</v>
      </c>
      <c r="D48" s="26" t="s">
        <v>40</v>
      </c>
      <c r="E48" s="26" t="s">
        <v>29</v>
      </c>
      <c r="F48" s="26" t="s">
        <v>58</v>
      </c>
      <c r="G48" s="26" t="s">
        <v>33</v>
      </c>
      <c r="H48" s="26">
        <v>2</v>
      </c>
      <c r="I48" s="26">
        <f t="shared" si="1"/>
        <v>2.8526389447833673</v>
      </c>
      <c r="J48" s="26">
        <v>1</v>
      </c>
      <c r="K48" s="26" t="s">
        <v>31</v>
      </c>
      <c r="L48" s="26" t="s">
        <v>31</v>
      </c>
      <c r="M48" s="26" t="s">
        <v>31</v>
      </c>
    </row>
    <row r="49" spans="1:14" s="26" customFormat="1" ht="12.75">
      <c r="A49" s="26" t="s">
        <v>526</v>
      </c>
      <c r="B49" s="34">
        <v>17.333463591570297</v>
      </c>
      <c r="C49" s="26" t="s">
        <v>37</v>
      </c>
      <c r="D49" s="26" t="s">
        <v>40</v>
      </c>
      <c r="E49" s="26" t="s">
        <v>29</v>
      </c>
      <c r="F49" s="26" t="s">
        <v>58</v>
      </c>
      <c r="G49" s="26" t="s">
        <v>33</v>
      </c>
      <c r="H49" s="26">
        <v>2</v>
      </c>
      <c r="I49" s="26">
        <f t="shared" si="1"/>
        <v>2.8526389447833673</v>
      </c>
      <c r="J49" s="26">
        <v>1</v>
      </c>
      <c r="K49" s="26" t="s">
        <v>31</v>
      </c>
      <c r="L49" s="26" t="s">
        <v>31</v>
      </c>
      <c r="M49" s="26" t="s">
        <v>31</v>
      </c>
    </row>
    <row r="50" spans="1:14" s="26" customFormat="1" ht="12.75">
      <c r="A50" s="26" t="s">
        <v>1622</v>
      </c>
      <c r="B50" s="34">
        <v>17.333463591570297</v>
      </c>
      <c r="C50" s="26" t="s">
        <v>37</v>
      </c>
      <c r="D50" s="26" t="s">
        <v>40</v>
      </c>
      <c r="E50" s="26" t="s">
        <v>29</v>
      </c>
      <c r="F50" s="26" t="s">
        <v>58</v>
      </c>
      <c r="G50" s="26" t="s">
        <v>33</v>
      </c>
      <c r="H50" s="26">
        <v>2</v>
      </c>
      <c r="I50" s="26">
        <f t="shared" si="1"/>
        <v>2.8526389447833673</v>
      </c>
      <c r="J50" s="26">
        <v>1</v>
      </c>
      <c r="K50" s="26" t="s">
        <v>31</v>
      </c>
      <c r="L50" s="26" t="s">
        <v>31</v>
      </c>
      <c r="M50" s="26" t="s">
        <v>31</v>
      </c>
    </row>
    <row r="51" spans="1:14" s="26" customFormat="1" ht="12.75">
      <c r="A51" s="26" t="s">
        <v>1623</v>
      </c>
      <c r="B51" s="34">
        <v>392.20294734310784</v>
      </c>
      <c r="C51" s="26" t="s">
        <v>37</v>
      </c>
      <c r="D51" s="26" t="s">
        <v>40</v>
      </c>
      <c r="E51" s="26" t="s">
        <v>29</v>
      </c>
      <c r="F51" s="26" t="s">
        <v>35</v>
      </c>
      <c r="G51" s="26" t="s">
        <v>33</v>
      </c>
      <c r="H51" s="26">
        <v>2</v>
      </c>
      <c r="I51" s="26">
        <f t="shared" si="1"/>
        <v>5.9717794286322956</v>
      </c>
      <c r="J51" s="26">
        <v>1</v>
      </c>
      <c r="K51" s="26" t="s">
        <v>31</v>
      </c>
      <c r="L51" s="26" t="s">
        <v>31</v>
      </c>
      <c r="M51" s="26" t="s">
        <v>31</v>
      </c>
    </row>
    <row r="52" spans="1:14" s="26" customFormat="1" ht="12.75">
      <c r="A52" s="26" t="s">
        <v>627</v>
      </c>
      <c r="B52" s="34">
        <v>47936.360234164255</v>
      </c>
      <c r="C52" s="26" t="s">
        <v>37</v>
      </c>
      <c r="D52" s="26" t="s">
        <v>40</v>
      </c>
      <c r="E52" s="26" t="s">
        <v>29</v>
      </c>
      <c r="F52" s="26" t="s">
        <v>35</v>
      </c>
      <c r="G52" s="26" t="s">
        <v>33</v>
      </c>
      <c r="H52" s="26">
        <v>2</v>
      </c>
      <c r="I52" s="26">
        <f t="shared" si="1"/>
        <v>10.777629581746941</v>
      </c>
      <c r="J52" s="26">
        <v>1</v>
      </c>
      <c r="K52" s="26" t="s">
        <v>31</v>
      </c>
      <c r="L52" s="26" t="s">
        <v>31</v>
      </c>
      <c r="M52" s="26" t="s">
        <v>31</v>
      </c>
    </row>
    <row r="53" spans="1:14" s="26" customFormat="1" ht="12.75">
      <c r="A53" s="26" t="s">
        <v>1624</v>
      </c>
      <c r="B53" s="34">
        <v>5156.4387498215228</v>
      </c>
      <c r="C53" s="26" t="s">
        <v>37</v>
      </c>
      <c r="D53" s="26" t="s">
        <v>40</v>
      </c>
      <c r="E53" s="26" t="s">
        <v>29</v>
      </c>
      <c r="F53" s="26" t="s">
        <v>58</v>
      </c>
      <c r="G53" s="26" t="s">
        <v>33</v>
      </c>
      <c r="H53" s="26">
        <v>2</v>
      </c>
      <c r="I53" s="26">
        <f t="shared" si="1"/>
        <v>8.5480014554389996</v>
      </c>
      <c r="J53" s="26">
        <v>1</v>
      </c>
      <c r="K53" s="26" t="s">
        <v>31</v>
      </c>
      <c r="L53" s="26" t="s">
        <v>31</v>
      </c>
      <c r="M53" s="26" t="s">
        <v>31</v>
      </c>
    </row>
    <row r="54" spans="1:14" s="26" customFormat="1" ht="12.75">
      <c r="A54" s="26" t="s">
        <v>610</v>
      </c>
      <c r="B54" s="34">
        <v>5156.4387498215228</v>
      </c>
      <c r="C54" s="26" t="s">
        <v>37</v>
      </c>
      <c r="D54" s="26" t="s">
        <v>40</v>
      </c>
      <c r="E54" s="26" t="s">
        <v>29</v>
      </c>
      <c r="F54" s="26" t="s">
        <v>58</v>
      </c>
      <c r="G54" s="26" t="s">
        <v>33</v>
      </c>
      <c r="H54" s="26">
        <v>2</v>
      </c>
      <c r="I54" s="26">
        <f t="shared" si="1"/>
        <v>8.5480014554389996</v>
      </c>
      <c r="J54" s="26">
        <v>1</v>
      </c>
      <c r="K54" s="26" t="s">
        <v>31</v>
      </c>
      <c r="L54" s="26" t="s">
        <v>31</v>
      </c>
      <c r="M54" s="26" t="s">
        <v>31</v>
      </c>
    </row>
    <row r="55" spans="1:14" s="26" customFormat="1" ht="12.75">
      <c r="A55" s="26" t="s">
        <v>1625</v>
      </c>
      <c r="B55" s="34">
        <v>2063.6155077441035</v>
      </c>
      <c r="C55" s="26" t="s">
        <v>37</v>
      </c>
      <c r="D55" s="26" t="s">
        <v>40</v>
      </c>
      <c r="E55" s="26" t="s">
        <v>29</v>
      </c>
      <c r="F55" s="26" t="s">
        <v>58</v>
      </c>
      <c r="G55" s="26" t="s">
        <v>33</v>
      </c>
      <c r="H55" s="26">
        <v>2</v>
      </c>
      <c r="I55" s="26">
        <f t="shared" si="1"/>
        <v>7.6322148242405445</v>
      </c>
      <c r="J55" s="26">
        <v>1</v>
      </c>
      <c r="K55" s="26" t="s">
        <v>31</v>
      </c>
      <c r="L55" s="26" t="s">
        <v>31</v>
      </c>
      <c r="M55" s="26" t="s">
        <v>31</v>
      </c>
    </row>
    <row r="56" spans="1:14" s="26" customFormat="1" ht="12.75">
      <c r="A56" s="26" t="s">
        <v>672</v>
      </c>
      <c r="B56" s="34">
        <v>14.200106711555664</v>
      </c>
      <c r="C56" s="26" t="s">
        <v>37</v>
      </c>
      <c r="D56" s="26" t="s">
        <v>40</v>
      </c>
      <c r="E56" s="26" t="s">
        <v>29</v>
      </c>
      <c r="F56" s="26" t="s">
        <v>58</v>
      </c>
      <c r="G56" s="26" t="s">
        <v>33</v>
      </c>
      <c r="H56" s="26">
        <v>2</v>
      </c>
      <c r="I56" s="26">
        <f t="shared" si="1"/>
        <v>2.6532494794772647</v>
      </c>
      <c r="J56" s="26">
        <v>1</v>
      </c>
      <c r="K56" s="26" t="s">
        <v>31</v>
      </c>
      <c r="L56" s="26" t="s">
        <v>31</v>
      </c>
      <c r="M56" s="26" t="s">
        <v>31</v>
      </c>
    </row>
    <row r="57" spans="1:14" s="26" customFormat="1" ht="12.75">
      <c r="A57" s="26" t="s">
        <v>1626</v>
      </c>
      <c r="B57" s="34">
        <v>166.80125348503415</v>
      </c>
      <c r="C57" s="26" t="s">
        <v>37</v>
      </c>
      <c r="D57" s="26" t="s">
        <v>40</v>
      </c>
      <c r="E57" s="26" t="s">
        <v>29</v>
      </c>
      <c r="F57" s="26" t="s">
        <v>58</v>
      </c>
      <c r="G57" s="26" t="s">
        <v>33</v>
      </c>
      <c r="H57" s="26">
        <v>2</v>
      </c>
      <c r="I57" s="26">
        <f t="shared" si="1"/>
        <v>5.1168030047946962</v>
      </c>
      <c r="J57" s="26">
        <v>1</v>
      </c>
      <c r="K57" s="26" t="s">
        <v>31</v>
      </c>
      <c r="L57" s="26" t="s">
        <v>31</v>
      </c>
      <c r="M57" s="26" t="s">
        <v>31</v>
      </c>
    </row>
    <row r="58" spans="1:14" ht="15.75">
      <c r="A58" s="29" t="s">
        <v>5</v>
      </c>
      <c r="B58" s="29" t="s">
        <v>1614</v>
      </c>
      <c r="C58" s="30"/>
      <c r="D58" s="31"/>
      <c r="E58" s="31"/>
      <c r="F58" s="31"/>
      <c r="G58" s="31"/>
      <c r="H58" s="31"/>
      <c r="I58" s="31"/>
      <c r="J58" s="31"/>
      <c r="K58" s="31"/>
      <c r="L58" s="31"/>
      <c r="M58" s="31"/>
      <c r="N58" s="31"/>
    </row>
    <row r="59" spans="1:14" s="26" customFormat="1" ht="12.75">
      <c r="A59" s="26" t="s">
        <v>7</v>
      </c>
      <c r="B59" s="26" t="s">
        <v>1583</v>
      </c>
    </row>
    <row r="60" spans="1:14" s="26" customFormat="1" ht="12.75">
      <c r="A60" s="26" t="s">
        <v>9</v>
      </c>
      <c r="B60" s="26" t="s">
        <v>1627</v>
      </c>
    </row>
    <row r="61" spans="1:14" s="26" customFormat="1" ht="38.25">
      <c r="A61" s="26" t="s">
        <v>11</v>
      </c>
      <c r="B61" s="37" t="s">
        <v>1628</v>
      </c>
    </row>
    <row r="62" spans="1:14" s="26" customFormat="1" ht="12.75">
      <c r="A62" s="26" t="s">
        <v>13</v>
      </c>
      <c r="B62" s="26" t="s">
        <v>14</v>
      </c>
    </row>
    <row r="63" spans="1:14" s="26" customFormat="1" ht="12.75">
      <c r="A63" s="26" t="s">
        <v>15</v>
      </c>
      <c r="B63" s="32">
        <v>1</v>
      </c>
    </row>
    <row r="64" spans="1:14" s="26" customFormat="1" ht="12.75">
      <c r="A64" s="26" t="s">
        <v>16</v>
      </c>
      <c r="B64" s="26" t="s">
        <v>17</v>
      </c>
    </row>
    <row r="65" spans="1:14" s="26" customFormat="1" ht="12.75">
      <c r="A65" s="26" t="s">
        <v>18</v>
      </c>
      <c r="B65" s="26" t="s">
        <v>18</v>
      </c>
    </row>
    <row r="66" spans="1:14" ht="15.75">
      <c r="A66" s="27" t="s">
        <v>19</v>
      </c>
    </row>
    <row r="67" spans="1:14" ht="15.75">
      <c r="A67" s="27" t="s">
        <v>20</v>
      </c>
      <c r="B67" s="27" t="s">
        <v>21</v>
      </c>
      <c r="C67" s="27" t="s">
        <v>18</v>
      </c>
      <c r="D67" s="27" t="s">
        <v>22</v>
      </c>
      <c r="E67" s="27" t="s">
        <v>7</v>
      </c>
      <c r="F67" s="27" t="s">
        <v>13</v>
      </c>
      <c r="G67" s="27" t="s">
        <v>16</v>
      </c>
      <c r="H67" s="27" t="s">
        <v>23</v>
      </c>
      <c r="I67" s="27" t="s">
        <v>24</v>
      </c>
      <c r="J67" s="27" t="s">
        <v>25</v>
      </c>
      <c r="K67" s="27" t="s">
        <v>26</v>
      </c>
      <c r="L67" s="27" t="s">
        <v>27</v>
      </c>
      <c r="M67" s="27" t="s">
        <v>28</v>
      </c>
      <c r="N67" s="27" t="s">
        <v>68</v>
      </c>
    </row>
    <row r="68" spans="1:14" s="26" customFormat="1" ht="12.75">
      <c r="A68" s="26" t="s">
        <v>1614</v>
      </c>
      <c r="B68" s="26">
        <f>B63</f>
        <v>1</v>
      </c>
      <c r="C68" s="26" t="str">
        <f>B65</f>
        <v>unit</v>
      </c>
      <c r="D68" s="26" t="s">
        <v>2</v>
      </c>
      <c r="E68" s="26" t="s">
        <v>29</v>
      </c>
      <c r="F68" s="26" t="str">
        <f>B62</f>
        <v>EUR</v>
      </c>
      <c r="G68" s="26" t="s">
        <v>30</v>
      </c>
      <c r="H68" s="26">
        <v>0</v>
      </c>
      <c r="I68" s="26">
        <f>B68</f>
        <v>1</v>
      </c>
      <c r="J68" s="26" t="s">
        <v>31</v>
      </c>
      <c r="K68" s="26" t="s">
        <v>31</v>
      </c>
      <c r="L68" s="26" t="s">
        <v>31</v>
      </c>
      <c r="M68" s="26" t="s">
        <v>31</v>
      </c>
    </row>
    <row r="69" spans="1:14" s="26" customFormat="1" ht="12.75">
      <c r="A69" s="32" t="s">
        <v>1629</v>
      </c>
      <c r="B69" s="26">
        <v>1</v>
      </c>
      <c r="C69" s="26" t="s">
        <v>18</v>
      </c>
      <c r="D69" s="26" t="s">
        <v>2</v>
      </c>
      <c r="E69" s="26" t="s">
        <v>29</v>
      </c>
      <c r="F69" s="26" t="s">
        <v>14</v>
      </c>
      <c r="G69" s="26" t="s">
        <v>33</v>
      </c>
      <c r="H69" s="26">
        <v>2</v>
      </c>
      <c r="I69" s="26">
        <f>LN(B69)</f>
        <v>0</v>
      </c>
      <c r="J69" s="26">
        <v>1</v>
      </c>
      <c r="K69" s="26" t="s">
        <v>31</v>
      </c>
      <c r="L69" s="26" t="s">
        <v>31</v>
      </c>
      <c r="M69" s="26" t="s">
        <v>31</v>
      </c>
    </row>
    <row r="70" spans="1:14" s="26" customFormat="1" ht="12.75">
      <c r="A70" s="26" t="s">
        <v>1630</v>
      </c>
      <c r="B70" s="26">
        <v>1</v>
      </c>
      <c r="C70" s="26" t="s">
        <v>18</v>
      </c>
      <c r="D70" s="26" t="s">
        <v>2</v>
      </c>
      <c r="E70" s="26" t="s">
        <v>29</v>
      </c>
      <c r="F70" s="26" t="s">
        <v>14</v>
      </c>
      <c r="G70" s="26" t="s">
        <v>33</v>
      </c>
      <c r="H70" s="26">
        <v>2</v>
      </c>
      <c r="I70" s="26">
        <f t="shared" ref="I70:I75" si="2">LN(B70)</f>
        <v>0</v>
      </c>
      <c r="J70" s="26">
        <v>1</v>
      </c>
      <c r="K70" s="26" t="s">
        <v>31</v>
      </c>
      <c r="L70" s="26" t="s">
        <v>31</v>
      </c>
      <c r="M70" s="26" t="s">
        <v>31</v>
      </c>
    </row>
    <row r="71" spans="1:14" s="26" customFormat="1" ht="12.75">
      <c r="A71" s="26" t="s">
        <v>1631</v>
      </c>
      <c r="B71" s="26">
        <v>1</v>
      </c>
      <c r="C71" s="26" t="s">
        <v>18</v>
      </c>
      <c r="D71" s="26" t="s">
        <v>2</v>
      </c>
      <c r="E71" s="26" t="s">
        <v>29</v>
      </c>
      <c r="F71" s="26" t="s">
        <v>14</v>
      </c>
      <c r="G71" s="26" t="s">
        <v>33</v>
      </c>
      <c r="H71" s="26">
        <v>2</v>
      </c>
      <c r="I71" s="26">
        <f t="shared" si="2"/>
        <v>0</v>
      </c>
      <c r="J71" s="26">
        <v>1</v>
      </c>
      <c r="K71" s="26" t="s">
        <v>31</v>
      </c>
      <c r="L71" s="26" t="s">
        <v>31</v>
      </c>
      <c r="M71" s="26" t="s">
        <v>31</v>
      </c>
    </row>
    <row r="72" spans="1:14" s="26" customFormat="1" ht="12.75">
      <c r="A72" s="26" t="s">
        <v>1632</v>
      </c>
      <c r="B72" s="26">
        <v>1</v>
      </c>
      <c r="C72" s="26" t="s">
        <v>18</v>
      </c>
      <c r="D72" s="26" t="s">
        <v>2</v>
      </c>
      <c r="E72" s="26" t="s">
        <v>29</v>
      </c>
      <c r="F72" s="26" t="s">
        <v>14</v>
      </c>
      <c r="G72" s="26" t="s">
        <v>33</v>
      </c>
      <c r="H72" s="26">
        <v>2</v>
      </c>
      <c r="I72" s="26">
        <f t="shared" si="2"/>
        <v>0</v>
      </c>
      <c r="J72" s="26">
        <v>1</v>
      </c>
      <c r="K72" s="26" t="s">
        <v>31</v>
      </c>
      <c r="L72" s="26" t="s">
        <v>31</v>
      </c>
      <c r="M72" s="26" t="s">
        <v>31</v>
      </c>
    </row>
    <row r="73" spans="1:14" s="26" customFormat="1" ht="12.75">
      <c r="A73" s="26" t="s">
        <v>1633</v>
      </c>
      <c r="B73" s="26">
        <v>1</v>
      </c>
      <c r="C73" s="26" t="s">
        <v>18</v>
      </c>
      <c r="D73" s="26" t="s">
        <v>2</v>
      </c>
      <c r="E73" s="26" t="s">
        <v>29</v>
      </c>
      <c r="F73" s="26" t="s">
        <v>14</v>
      </c>
      <c r="G73" s="26" t="s">
        <v>33</v>
      </c>
      <c r="H73" s="26">
        <v>2</v>
      </c>
      <c r="I73" s="26">
        <f t="shared" si="2"/>
        <v>0</v>
      </c>
      <c r="J73" s="26">
        <v>1</v>
      </c>
      <c r="K73" s="26" t="s">
        <v>31</v>
      </c>
      <c r="L73" s="26" t="s">
        <v>31</v>
      </c>
      <c r="M73" s="26" t="s">
        <v>31</v>
      </c>
    </row>
    <row r="74" spans="1:14" s="26" customFormat="1" ht="12.75">
      <c r="A74" s="26" t="s">
        <v>1634</v>
      </c>
      <c r="B74" s="26">
        <v>1</v>
      </c>
      <c r="C74" s="26" t="s">
        <v>18</v>
      </c>
      <c r="D74" s="26" t="s">
        <v>2</v>
      </c>
      <c r="E74" s="26" t="s">
        <v>29</v>
      </c>
      <c r="F74" s="26" t="s">
        <v>14</v>
      </c>
      <c r="G74" s="26" t="s">
        <v>33</v>
      </c>
      <c r="H74" s="26">
        <v>2</v>
      </c>
      <c r="I74" s="26">
        <f t="shared" si="2"/>
        <v>0</v>
      </c>
      <c r="J74" s="26">
        <v>1</v>
      </c>
      <c r="K74" s="26" t="s">
        <v>31</v>
      </c>
      <c r="L74" s="26" t="s">
        <v>31</v>
      </c>
      <c r="M74" s="26" t="s">
        <v>31</v>
      </c>
    </row>
    <row r="75" spans="1:14" s="26" customFormat="1" ht="12.75">
      <c r="A75" s="26" t="s">
        <v>1635</v>
      </c>
      <c r="B75" s="26">
        <v>1</v>
      </c>
      <c r="C75" s="26" t="s">
        <v>18</v>
      </c>
      <c r="D75" s="26" t="s">
        <v>2</v>
      </c>
      <c r="E75" s="26" t="s">
        <v>29</v>
      </c>
      <c r="F75" s="26" t="s">
        <v>14</v>
      </c>
      <c r="G75" s="26" t="s">
        <v>33</v>
      </c>
      <c r="H75" s="26">
        <v>2</v>
      </c>
      <c r="I75" s="26">
        <f t="shared" si="2"/>
        <v>0</v>
      </c>
      <c r="J75" s="26">
        <v>1</v>
      </c>
      <c r="K75" s="26" t="s">
        <v>31</v>
      </c>
      <c r="L75" s="26" t="s">
        <v>31</v>
      </c>
      <c r="M75" s="26" t="s">
        <v>31</v>
      </c>
    </row>
    <row r="76" spans="1:14" ht="15.75">
      <c r="A76" s="29" t="s">
        <v>5</v>
      </c>
      <c r="B76" s="29" t="s">
        <v>1629</v>
      </c>
      <c r="C76" s="30"/>
      <c r="D76" s="31"/>
      <c r="E76" s="31"/>
      <c r="F76" s="31"/>
      <c r="G76" s="31"/>
      <c r="H76" s="31"/>
      <c r="I76" s="31"/>
      <c r="J76" s="31"/>
      <c r="K76" s="31"/>
      <c r="L76" s="31"/>
      <c r="M76" s="31"/>
      <c r="N76" s="31"/>
    </row>
    <row r="77" spans="1:14" s="26" customFormat="1" ht="12.75">
      <c r="A77" s="26" t="s">
        <v>7</v>
      </c>
      <c r="B77" s="26" t="s">
        <v>1583</v>
      </c>
    </row>
    <row r="78" spans="1:14" s="26" customFormat="1" ht="12.75">
      <c r="A78" s="26" t="s">
        <v>9</v>
      </c>
      <c r="B78" s="26" t="s">
        <v>1636</v>
      </c>
    </row>
    <row r="79" spans="1:14" s="26" customFormat="1" ht="38.25">
      <c r="A79" s="26" t="s">
        <v>11</v>
      </c>
      <c r="B79" s="37" t="s">
        <v>1637</v>
      </c>
    </row>
    <row r="80" spans="1:14" s="26" customFormat="1" ht="12.75">
      <c r="A80" s="26" t="s">
        <v>13</v>
      </c>
      <c r="B80" s="26" t="s">
        <v>14</v>
      </c>
    </row>
    <row r="81" spans="1:14" s="26" customFormat="1" ht="12.75">
      <c r="A81" s="26" t="s">
        <v>15</v>
      </c>
      <c r="B81" s="32">
        <v>1</v>
      </c>
    </row>
    <row r="82" spans="1:14" s="26" customFormat="1" ht="12.75">
      <c r="A82" s="26" t="s">
        <v>16</v>
      </c>
      <c r="B82" s="26" t="s">
        <v>17</v>
      </c>
    </row>
    <row r="83" spans="1:14" s="26" customFormat="1" ht="12.75">
      <c r="A83" s="26" t="s">
        <v>18</v>
      </c>
      <c r="B83" s="26" t="s">
        <v>18</v>
      </c>
    </row>
    <row r="84" spans="1:14" ht="15.75">
      <c r="A84" s="27" t="s">
        <v>19</v>
      </c>
    </row>
    <row r="85" spans="1:14" ht="15.75">
      <c r="A85" s="27" t="s">
        <v>20</v>
      </c>
      <c r="B85" s="27" t="s">
        <v>21</v>
      </c>
      <c r="C85" s="27" t="s">
        <v>18</v>
      </c>
      <c r="D85" s="27" t="s">
        <v>22</v>
      </c>
      <c r="E85" s="27" t="s">
        <v>7</v>
      </c>
      <c r="F85" s="27" t="s">
        <v>13</v>
      </c>
      <c r="G85" s="27" t="s">
        <v>16</v>
      </c>
      <c r="H85" s="27" t="s">
        <v>23</v>
      </c>
      <c r="I85" s="27" t="s">
        <v>24</v>
      </c>
      <c r="J85" s="27" t="s">
        <v>25</v>
      </c>
      <c r="K85" s="27" t="s">
        <v>26</v>
      </c>
      <c r="L85" s="27" t="s">
        <v>27</v>
      </c>
      <c r="M85" s="27" t="s">
        <v>28</v>
      </c>
      <c r="N85" s="27" t="s">
        <v>68</v>
      </c>
    </row>
    <row r="86" spans="1:14" s="26" customFormat="1" ht="12.75">
      <c r="A86" s="26" t="s">
        <v>1629</v>
      </c>
      <c r="B86" s="26">
        <f>B81</f>
        <v>1</v>
      </c>
      <c r="C86" s="26" t="str">
        <f>B83</f>
        <v>unit</v>
      </c>
      <c r="D86" s="26" t="s">
        <v>2</v>
      </c>
      <c r="E86" s="26" t="s">
        <v>29</v>
      </c>
      <c r="F86" s="26" t="str">
        <f>B80</f>
        <v>EUR</v>
      </c>
      <c r="G86" s="26" t="s">
        <v>30</v>
      </c>
      <c r="H86" s="26">
        <v>0</v>
      </c>
      <c r="I86" s="26">
        <f>B86</f>
        <v>1</v>
      </c>
      <c r="J86" s="26" t="s">
        <v>31</v>
      </c>
      <c r="K86" s="26" t="s">
        <v>31</v>
      </c>
      <c r="L86" s="26" t="s">
        <v>31</v>
      </c>
      <c r="M86" s="26" t="s">
        <v>31</v>
      </c>
    </row>
    <row r="87" spans="1:14" s="26" customFormat="1" ht="12.75">
      <c r="A87" s="26" t="s">
        <v>688</v>
      </c>
      <c r="B87" s="26">
        <v>21420</v>
      </c>
      <c r="C87" s="26" t="s">
        <v>37</v>
      </c>
      <c r="D87" s="26" t="s">
        <v>40</v>
      </c>
      <c r="E87" s="26" t="s">
        <v>29</v>
      </c>
      <c r="F87" s="26" t="s">
        <v>58</v>
      </c>
      <c r="G87" s="26" t="s">
        <v>33</v>
      </c>
      <c r="H87" s="26">
        <v>2</v>
      </c>
      <c r="I87" s="26">
        <f>LN(B87)</f>
        <v>9.9720803440017391</v>
      </c>
      <c r="J87" s="26">
        <v>1</v>
      </c>
      <c r="K87" s="26" t="s">
        <v>31</v>
      </c>
      <c r="L87" s="26" t="s">
        <v>31</v>
      </c>
      <c r="M87" s="26" t="s">
        <v>31</v>
      </c>
    </row>
    <row r="88" spans="1:14" s="26" customFormat="1" ht="12.75">
      <c r="A88" s="26" t="s">
        <v>682</v>
      </c>
      <c r="B88" s="26">
        <v>50.400000000000006</v>
      </c>
      <c r="C88" s="26" t="s">
        <v>37</v>
      </c>
      <c r="D88" s="26" t="s">
        <v>40</v>
      </c>
      <c r="E88" s="26" t="s">
        <v>29</v>
      </c>
      <c r="F88" s="26" t="s">
        <v>58</v>
      </c>
      <c r="G88" s="26" t="s">
        <v>33</v>
      </c>
      <c r="H88" s="26">
        <v>2</v>
      </c>
      <c r="I88" s="26">
        <f t="shared" ref="I88:I96" si="3">LN(B88)</f>
        <v>3.9199911750773229</v>
      </c>
      <c r="J88" s="26">
        <v>1</v>
      </c>
      <c r="K88" s="26" t="s">
        <v>31</v>
      </c>
      <c r="L88" s="26" t="s">
        <v>31</v>
      </c>
      <c r="M88" s="26" t="s">
        <v>31</v>
      </c>
    </row>
    <row r="89" spans="1:14" s="26" customFormat="1" ht="12.75">
      <c r="A89" s="26" t="s">
        <v>600</v>
      </c>
      <c r="B89" s="26">
        <v>50.400000000000006</v>
      </c>
      <c r="C89" s="26" t="s">
        <v>37</v>
      </c>
      <c r="D89" s="26" t="s">
        <v>40</v>
      </c>
      <c r="E89" s="26" t="s">
        <v>29</v>
      </c>
      <c r="F89" s="26" t="s">
        <v>58</v>
      </c>
      <c r="G89" s="26" t="s">
        <v>33</v>
      </c>
      <c r="H89" s="26">
        <v>2</v>
      </c>
      <c r="I89" s="26">
        <f t="shared" si="3"/>
        <v>3.9199911750773229</v>
      </c>
      <c r="J89" s="26">
        <v>1</v>
      </c>
      <c r="K89" s="26" t="s">
        <v>31</v>
      </c>
      <c r="L89" s="26" t="s">
        <v>31</v>
      </c>
      <c r="M89" s="26" t="s">
        <v>31</v>
      </c>
    </row>
    <row r="90" spans="1:14" s="26" customFormat="1" ht="12.75">
      <c r="A90" s="26" t="s">
        <v>682</v>
      </c>
      <c r="B90" s="26">
        <v>18684</v>
      </c>
      <c r="C90" s="26" t="s">
        <v>37</v>
      </c>
      <c r="D90" s="26" t="s">
        <v>40</v>
      </c>
      <c r="E90" s="26" t="s">
        <v>29</v>
      </c>
      <c r="F90" s="26" t="s">
        <v>58</v>
      </c>
      <c r="G90" s="26" t="s">
        <v>33</v>
      </c>
      <c r="H90" s="26">
        <v>2</v>
      </c>
      <c r="I90" s="26">
        <f t="shared" si="3"/>
        <v>9.8354228216219983</v>
      </c>
      <c r="J90" s="26">
        <v>1</v>
      </c>
      <c r="K90" s="26" t="s">
        <v>31</v>
      </c>
      <c r="L90" s="26" t="s">
        <v>31</v>
      </c>
      <c r="M90" s="26" t="s">
        <v>31</v>
      </c>
    </row>
    <row r="91" spans="1:14" s="26" customFormat="1" ht="12.75">
      <c r="A91" s="26" t="s">
        <v>238</v>
      </c>
      <c r="B91" s="26">
        <v>1530</v>
      </c>
      <c r="C91" s="26" t="s">
        <v>37</v>
      </c>
      <c r="D91" s="26" t="s">
        <v>40</v>
      </c>
      <c r="E91" s="26" t="s">
        <v>29</v>
      </c>
      <c r="F91" s="26" t="s">
        <v>58</v>
      </c>
      <c r="G91" s="26" t="s">
        <v>33</v>
      </c>
      <c r="H91" s="26">
        <v>2</v>
      </c>
      <c r="I91" s="26">
        <f t="shared" si="3"/>
        <v>7.3330230143864812</v>
      </c>
      <c r="J91" s="26">
        <v>1</v>
      </c>
      <c r="K91" s="26" t="s">
        <v>31</v>
      </c>
      <c r="L91" s="26" t="s">
        <v>31</v>
      </c>
      <c r="M91" s="26" t="s">
        <v>31</v>
      </c>
    </row>
    <row r="92" spans="1:14" s="26" customFormat="1" ht="12.75">
      <c r="A92" s="26" t="s">
        <v>342</v>
      </c>
      <c r="B92" s="26">
        <v>4590</v>
      </c>
      <c r="C92" s="26" t="s">
        <v>37</v>
      </c>
      <c r="D92" s="26" t="s">
        <v>40</v>
      </c>
      <c r="E92" s="26" t="s">
        <v>29</v>
      </c>
      <c r="F92" s="26" t="s">
        <v>58</v>
      </c>
      <c r="G92" s="26" t="s">
        <v>33</v>
      </c>
      <c r="H92" s="26">
        <v>2</v>
      </c>
      <c r="I92" s="26">
        <f t="shared" si="3"/>
        <v>8.4316353030545912</v>
      </c>
      <c r="J92" s="26">
        <v>1</v>
      </c>
      <c r="K92" s="26" t="s">
        <v>31</v>
      </c>
      <c r="L92" s="26" t="s">
        <v>31</v>
      </c>
      <c r="M92" s="26" t="s">
        <v>31</v>
      </c>
    </row>
    <row r="93" spans="1:14" s="26" customFormat="1" ht="12.75">
      <c r="A93" s="26" t="s">
        <v>1638</v>
      </c>
      <c r="B93" s="26">
        <v>18.000000000000004</v>
      </c>
      <c r="C93" s="26" t="s">
        <v>37</v>
      </c>
      <c r="D93" s="26" t="s">
        <v>40</v>
      </c>
      <c r="E93" s="26" t="s">
        <v>29</v>
      </c>
      <c r="F93" s="26" t="s">
        <v>58</v>
      </c>
      <c r="G93" s="26" t="s">
        <v>33</v>
      </c>
      <c r="H93" s="26">
        <v>2</v>
      </c>
      <c r="I93" s="26">
        <f t="shared" si="3"/>
        <v>2.890371757896165</v>
      </c>
      <c r="J93" s="26">
        <v>1</v>
      </c>
      <c r="K93" s="26" t="s">
        <v>31</v>
      </c>
      <c r="L93" s="26" t="s">
        <v>31</v>
      </c>
      <c r="M93" s="26" t="s">
        <v>31</v>
      </c>
    </row>
    <row r="94" spans="1:14" s="26" customFormat="1" ht="12.75">
      <c r="A94" s="26" t="s">
        <v>1639</v>
      </c>
      <c r="B94" s="26">
        <v>460.80000000000024</v>
      </c>
      <c r="C94" s="26" t="s">
        <v>37</v>
      </c>
      <c r="D94" s="26" t="s">
        <v>40</v>
      </c>
      <c r="E94" s="26" t="s">
        <v>29</v>
      </c>
      <c r="F94" s="26" t="s">
        <v>128</v>
      </c>
      <c r="G94" s="26" t="s">
        <v>33</v>
      </c>
      <c r="H94" s="26">
        <v>2</v>
      </c>
      <c r="I94" s="26">
        <f t="shared" si="3"/>
        <v>6.1329641093816818</v>
      </c>
      <c r="J94" s="26">
        <v>1</v>
      </c>
      <c r="K94" s="26" t="s">
        <v>31</v>
      </c>
      <c r="L94" s="26" t="s">
        <v>31</v>
      </c>
      <c r="M94" s="26" t="s">
        <v>31</v>
      </c>
    </row>
    <row r="95" spans="1:14" s="26" customFormat="1" ht="12.75">
      <c r="A95" s="26" t="s">
        <v>348</v>
      </c>
      <c r="B95" s="26">
        <v>3855.6000000000008</v>
      </c>
      <c r="C95" s="26" t="s">
        <v>37</v>
      </c>
      <c r="D95" s="26" t="s">
        <v>40</v>
      </c>
      <c r="E95" s="26" t="s">
        <v>29</v>
      </c>
      <c r="F95" s="26" t="s">
        <v>58</v>
      </c>
      <c r="G95" s="26" t="s">
        <v>33</v>
      </c>
      <c r="H95" s="26">
        <v>2</v>
      </c>
      <c r="I95" s="26">
        <f t="shared" si="3"/>
        <v>8.2572819159098128</v>
      </c>
      <c r="J95" s="26">
        <v>1</v>
      </c>
      <c r="K95" s="26" t="s">
        <v>31</v>
      </c>
      <c r="L95" s="26" t="s">
        <v>31</v>
      </c>
      <c r="M95" s="26" t="s">
        <v>31</v>
      </c>
    </row>
    <row r="96" spans="1:14" s="26" customFormat="1" ht="12.75">
      <c r="A96" s="26" t="s">
        <v>334</v>
      </c>
      <c r="B96" s="26">
        <v>144.00000000000003</v>
      </c>
      <c r="C96" s="26" t="s">
        <v>37</v>
      </c>
      <c r="D96" s="26" t="s">
        <v>40</v>
      </c>
      <c r="E96" s="26" t="s">
        <v>29</v>
      </c>
      <c r="F96" s="26" t="s">
        <v>58</v>
      </c>
      <c r="G96" s="26" t="s">
        <v>33</v>
      </c>
      <c r="H96" s="26">
        <v>2</v>
      </c>
      <c r="I96" s="26">
        <f t="shared" si="3"/>
        <v>4.9698132995760007</v>
      </c>
      <c r="J96" s="26">
        <v>1</v>
      </c>
      <c r="K96" s="26" t="s">
        <v>31</v>
      </c>
      <c r="L96" s="26" t="s">
        <v>31</v>
      </c>
      <c r="M96" s="26" t="s">
        <v>31</v>
      </c>
    </row>
    <row r="97" spans="1:14" s="26" customFormat="1" ht="15.75">
      <c r="A97" s="29" t="s">
        <v>5</v>
      </c>
      <c r="B97" s="29" t="s">
        <v>1630</v>
      </c>
      <c r="C97" s="30"/>
      <c r="D97" s="31"/>
      <c r="E97" s="31"/>
      <c r="F97" s="31"/>
      <c r="G97" s="31"/>
      <c r="H97" s="31"/>
      <c r="I97" s="31"/>
      <c r="J97" s="31"/>
      <c r="K97" s="31"/>
      <c r="L97" s="31"/>
      <c r="M97" s="31"/>
      <c r="N97" s="31"/>
    </row>
    <row r="98" spans="1:14" s="26" customFormat="1" ht="12.75">
      <c r="A98" s="26" t="s">
        <v>7</v>
      </c>
      <c r="B98" s="26" t="s">
        <v>1583</v>
      </c>
    </row>
    <row r="99" spans="1:14" s="26" customFormat="1" ht="12.75">
      <c r="A99" s="26" t="s">
        <v>9</v>
      </c>
      <c r="B99" s="26" t="s">
        <v>1640</v>
      </c>
    </row>
    <row r="100" spans="1:14" ht="38.25">
      <c r="A100" s="26" t="s">
        <v>11</v>
      </c>
      <c r="B100" s="37" t="s">
        <v>1641</v>
      </c>
      <c r="C100" s="26"/>
      <c r="D100" s="26"/>
      <c r="E100" s="26"/>
      <c r="F100" s="26"/>
      <c r="G100" s="26"/>
      <c r="H100" s="26"/>
      <c r="I100" s="26"/>
      <c r="J100" s="26"/>
      <c r="K100" s="26"/>
      <c r="L100" s="26"/>
      <c r="M100" s="26"/>
      <c r="N100" s="26"/>
    </row>
    <row r="101" spans="1:14">
      <c r="A101" s="26" t="s">
        <v>13</v>
      </c>
      <c r="B101" s="26" t="s">
        <v>14</v>
      </c>
      <c r="C101" s="26"/>
      <c r="D101" s="26"/>
      <c r="E101" s="26"/>
      <c r="F101" s="26"/>
      <c r="G101" s="26"/>
      <c r="H101" s="26"/>
      <c r="I101" s="26"/>
      <c r="J101" s="26"/>
      <c r="K101" s="26"/>
      <c r="L101" s="26"/>
      <c r="M101" s="26"/>
      <c r="N101" s="26"/>
    </row>
    <row r="102" spans="1:14">
      <c r="A102" s="26" t="s">
        <v>15</v>
      </c>
      <c r="B102" s="32">
        <v>1</v>
      </c>
      <c r="C102" s="26"/>
      <c r="D102" s="26"/>
      <c r="E102" s="26"/>
      <c r="F102" s="26"/>
      <c r="G102" s="26"/>
      <c r="H102" s="26"/>
      <c r="I102" s="26"/>
      <c r="J102" s="26"/>
      <c r="K102" s="26"/>
      <c r="L102" s="26"/>
      <c r="M102" s="26"/>
      <c r="N102" s="26"/>
    </row>
    <row r="103" spans="1:14">
      <c r="A103" s="26" t="s">
        <v>16</v>
      </c>
      <c r="B103" s="26" t="s">
        <v>17</v>
      </c>
      <c r="C103" s="26"/>
      <c r="D103" s="26"/>
      <c r="E103" s="26"/>
      <c r="F103" s="26"/>
      <c r="G103" s="26"/>
      <c r="H103" s="26"/>
      <c r="I103" s="26"/>
      <c r="J103" s="26"/>
      <c r="K103" s="26"/>
      <c r="L103" s="26"/>
      <c r="M103" s="26"/>
      <c r="N103" s="26"/>
    </row>
    <row r="104" spans="1:14">
      <c r="A104" s="26" t="s">
        <v>18</v>
      </c>
      <c r="B104" s="26" t="s">
        <v>18</v>
      </c>
      <c r="C104" s="26"/>
      <c r="D104" s="26"/>
      <c r="E104" s="26"/>
      <c r="F104" s="26"/>
      <c r="G104" s="26"/>
      <c r="H104" s="26"/>
      <c r="I104" s="26"/>
      <c r="J104" s="26"/>
      <c r="K104" s="26"/>
      <c r="L104" s="26"/>
      <c r="M104" s="26"/>
      <c r="N104" s="26"/>
    </row>
    <row r="105" spans="1:14" ht="15.75">
      <c r="A105" s="27" t="s">
        <v>19</v>
      </c>
    </row>
    <row r="106" spans="1:14" ht="15.75">
      <c r="A106" s="27" t="s">
        <v>20</v>
      </c>
      <c r="B106" s="27" t="s">
        <v>21</v>
      </c>
      <c r="C106" s="27" t="s">
        <v>18</v>
      </c>
      <c r="D106" s="27" t="s">
        <v>22</v>
      </c>
      <c r="E106" s="27" t="s">
        <v>7</v>
      </c>
      <c r="F106" s="27" t="s">
        <v>13</v>
      </c>
      <c r="G106" s="27" t="s">
        <v>16</v>
      </c>
      <c r="H106" s="27" t="s">
        <v>23</v>
      </c>
      <c r="I106" s="27" t="s">
        <v>24</v>
      </c>
      <c r="J106" s="27" t="s">
        <v>25</v>
      </c>
      <c r="K106" s="27" t="s">
        <v>26</v>
      </c>
      <c r="L106" s="27" t="s">
        <v>27</v>
      </c>
      <c r="M106" s="27" t="s">
        <v>28</v>
      </c>
      <c r="N106" s="27" t="s">
        <v>68</v>
      </c>
    </row>
    <row r="107" spans="1:14">
      <c r="A107" s="26" t="s">
        <v>1630</v>
      </c>
      <c r="B107" s="26">
        <f>B102</f>
        <v>1</v>
      </c>
      <c r="C107" s="26" t="str">
        <f>B104</f>
        <v>unit</v>
      </c>
      <c r="D107" s="26" t="s">
        <v>2</v>
      </c>
      <c r="E107" s="26" t="s">
        <v>29</v>
      </c>
      <c r="F107" s="26" t="str">
        <f>B101</f>
        <v>EUR</v>
      </c>
      <c r="G107" s="26" t="s">
        <v>30</v>
      </c>
      <c r="H107" s="26">
        <v>0</v>
      </c>
      <c r="I107" s="26">
        <f>B107</f>
        <v>1</v>
      </c>
      <c r="J107" s="26" t="s">
        <v>31</v>
      </c>
      <c r="K107" s="26" t="s">
        <v>31</v>
      </c>
      <c r="L107" s="26" t="s">
        <v>31</v>
      </c>
      <c r="M107" s="26" t="s">
        <v>31</v>
      </c>
      <c r="N107" s="26"/>
    </row>
    <row r="108" spans="1:14">
      <c r="A108" s="32" t="s">
        <v>688</v>
      </c>
      <c r="B108" s="34">
        <v>73231.199999999983</v>
      </c>
      <c r="C108" s="26" t="s">
        <v>37</v>
      </c>
      <c r="D108" s="26" t="s">
        <v>40</v>
      </c>
      <c r="E108" s="26" t="s">
        <v>29</v>
      </c>
      <c r="F108" s="26" t="s">
        <v>58</v>
      </c>
      <c r="G108" s="26" t="s">
        <v>33</v>
      </c>
      <c r="H108" s="26">
        <v>2</v>
      </c>
      <c r="I108" s="26">
        <f>LN(B108)</f>
        <v>11.201376838647606</v>
      </c>
      <c r="J108" s="26">
        <v>1</v>
      </c>
      <c r="K108" s="26" t="s">
        <v>31</v>
      </c>
      <c r="L108" s="26" t="s">
        <v>31</v>
      </c>
      <c r="M108" s="26" t="s">
        <v>31</v>
      </c>
      <c r="N108" s="26"/>
    </row>
    <row r="109" spans="1:14">
      <c r="A109" s="26" t="s">
        <v>682</v>
      </c>
      <c r="B109" s="34">
        <v>453.59999999999997</v>
      </c>
      <c r="C109" s="26" t="s">
        <v>37</v>
      </c>
      <c r="D109" s="26" t="s">
        <v>40</v>
      </c>
      <c r="E109" s="26" t="s">
        <v>29</v>
      </c>
      <c r="F109" s="26" t="s">
        <v>58</v>
      </c>
      <c r="G109" s="26" t="s">
        <v>33</v>
      </c>
      <c r="H109" s="26">
        <v>2</v>
      </c>
      <c r="I109" s="26">
        <f t="shared" ref="I109:I120" si="4">LN(B109)</f>
        <v>6.117215752413542</v>
      </c>
      <c r="J109" s="26">
        <v>1</v>
      </c>
      <c r="K109" s="26" t="s">
        <v>31</v>
      </c>
      <c r="L109" s="26" t="s">
        <v>31</v>
      </c>
      <c r="M109" s="26" t="s">
        <v>31</v>
      </c>
      <c r="N109" s="26"/>
    </row>
    <row r="110" spans="1:14">
      <c r="A110" s="32" t="s">
        <v>600</v>
      </c>
      <c r="B110" s="34">
        <v>453.59999999999997</v>
      </c>
      <c r="C110" s="26" t="s">
        <v>37</v>
      </c>
      <c r="D110" s="26" t="s">
        <v>40</v>
      </c>
      <c r="E110" s="26" t="s">
        <v>29</v>
      </c>
      <c r="F110" s="26" t="s">
        <v>58</v>
      </c>
      <c r="G110" s="26" t="s">
        <v>33</v>
      </c>
      <c r="H110" s="26">
        <v>2</v>
      </c>
      <c r="I110" s="26">
        <f t="shared" si="4"/>
        <v>6.117215752413542</v>
      </c>
      <c r="J110" s="26">
        <v>1</v>
      </c>
      <c r="K110" s="26" t="s">
        <v>31</v>
      </c>
      <c r="L110" s="26" t="s">
        <v>31</v>
      </c>
      <c r="M110" s="26" t="s">
        <v>31</v>
      </c>
      <c r="N110" s="26"/>
    </row>
    <row r="111" spans="1:14">
      <c r="A111" s="26" t="s">
        <v>682</v>
      </c>
      <c r="B111" s="34">
        <v>21171.599999999999</v>
      </c>
      <c r="C111" s="26" t="s">
        <v>37</v>
      </c>
      <c r="D111" s="26" t="s">
        <v>40</v>
      </c>
      <c r="E111" s="26" t="s">
        <v>29</v>
      </c>
      <c r="F111" s="26" t="s">
        <v>58</v>
      </c>
      <c r="G111" s="26" t="s">
        <v>33</v>
      </c>
      <c r="H111" s="26">
        <v>2</v>
      </c>
      <c r="I111" s="26">
        <f t="shared" si="4"/>
        <v>9.9604159399220205</v>
      </c>
      <c r="J111" s="26">
        <v>1</v>
      </c>
      <c r="K111" s="26" t="s">
        <v>31</v>
      </c>
      <c r="L111" s="26" t="s">
        <v>31</v>
      </c>
      <c r="M111" s="26" t="s">
        <v>31</v>
      </c>
      <c r="N111" s="26"/>
    </row>
    <row r="112" spans="1:14">
      <c r="A112" s="32" t="s">
        <v>238</v>
      </c>
      <c r="B112" s="34">
        <v>71193.599999999991</v>
      </c>
      <c r="C112" s="26" t="s">
        <v>37</v>
      </c>
      <c r="D112" s="26" t="s">
        <v>40</v>
      </c>
      <c r="E112" s="26" t="s">
        <v>29</v>
      </c>
      <c r="F112" s="26" t="s">
        <v>58</v>
      </c>
      <c r="G112" s="26" t="s">
        <v>33</v>
      </c>
      <c r="H112" s="26">
        <v>2</v>
      </c>
      <c r="I112" s="26">
        <f t="shared" si="4"/>
        <v>11.173158205719481</v>
      </c>
      <c r="J112" s="26">
        <v>1</v>
      </c>
      <c r="K112" s="26" t="s">
        <v>31</v>
      </c>
      <c r="L112" s="26" t="s">
        <v>31</v>
      </c>
      <c r="M112" s="26" t="s">
        <v>31</v>
      </c>
      <c r="N112" s="26"/>
    </row>
    <row r="113" spans="1:14">
      <c r="A113" s="32" t="s">
        <v>342</v>
      </c>
      <c r="B113" s="34">
        <v>45126</v>
      </c>
      <c r="C113" s="26" t="s">
        <v>37</v>
      </c>
      <c r="D113" s="26" t="s">
        <v>40</v>
      </c>
      <c r="E113" s="26" t="s">
        <v>29</v>
      </c>
      <c r="F113" s="26" t="s">
        <v>58</v>
      </c>
      <c r="G113" s="26" t="s">
        <v>33</v>
      </c>
      <c r="H113" s="26">
        <v>2</v>
      </c>
      <c r="I113" s="26">
        <f t="shared" si="4"/>
        <v>10.717213856054459</v>
      </c>
      <c r="J113" s="26">
        <v>1</v>
      </c>
      <c r="K113" s="26" t="s">
        <v>31</v>
      </c>
      <c r="L113" s="26" t="s">
        <v>31</v>
      </c>
      <c r="M113" s="26" t="s">
        <v>31</v>
      </c>
      <c r="N113" s="26"/>
    </row>
    <row r="114" spans="1:14">
      <c r="A114" s="32" t="s">
        <v>1639</v>
      </c>
      <c r="B114" s="34">
        <v>802.8</v>
      </c>
      <c r="C114" s="26" t="s">
        <v>37</v>
      </c>
      <c r="D114" s="26" t="s">
        <v>40</v>
      </c>
      <c r="E114" s="26" t="s">
        <v>29</v>
      </c>
      <c r="F114" s="26" t="s">
        <v>128</v>
      </c>
      <c r="G114" s="26" t="s">
        <v>33</v>
      </c>
      <c r="H114" s="26">
        <v>2</v>
      </c>
      <c r="I114" s="26">
        <f t="shared" si="4"/>
        <v>6.6881056169221829</v>
      </c>
      <c r="J114" s="26">
        <v>1</v>
      </c>
      <c r="K114" s="26" t="s">
        <v>31</v>
      </c>
      <c r="L114" s="26" t="s">
        <v>31</v>
      </c>
      <c r="M114" s="26" t="s">
        <v>31</v>
      </c>
      <c r="N114" s="26"/>
    </row>
    <row r="115" spans="1:14">
      <c r="A115" s="32" t="s">
        <v>1642</v>
      </c>
      <c r="B115" s="34">
        <v>54</v>
      </c>
      <c r="C115" s="26" t="s">
        <v>37</v>
      </c>
      <c r="D115" s="26" t="s">
        <v>40</v>
      </c>
      <c r="E115" s="26" t="s">
        <v>29</v>
      </c>
      <c r="F115" s="26" t="s">
        <v>58</v>
      </c>
      <c r="G115" s="26" t="s">
        <v>33</v>
      </c>
      <c r="H115" s="26">
        <v>2</v>
      </c>
      <c r="I115" s="26">
        <f t="shared" si="4"/>
        <v>3.9889840465642745</v>
      </c>
      <c r="J115" s="26">
        <v>1</v>
      </c>
      <c r="K115" s="26" t="s">
        <v>31</v>
      </c>
      <c r="L115" s="26" t="s">
        <v>31</v>
      </c>
      <c r="M115" s="26" t="s">
        <v>31</v>
      </c>
      <c r="N115" s="26"/>
    </row>
    <row r="116" spans="1:14">
      <c r="A116" s="32" t="s">
        <v>348</v>
      </c>
      <c r="B116" s="34">
        <v>9554.4</v>
      </c>
      <c r="C116" s="26" t="s">
        <v>37</v>
      </c>
      <c r="D116" s="26" t="s">
        <v>40</v>
      </c>
      <c r="E116" s="26" t="s">
        <v>29</v>
      </c>
      <c r="F116" s="26" t="s">
        <v>58</v>
      </c>
      <c r="G116" s="26" t="s">
        <v>33</v>
      </c>
      <c r="H116" s="26">
        <v>2</v>
      </c>
      <c r="I116" s="26">
        <f t="shared" si="4"/>
        <v>9.1647570603542174</v>
      </c>
      <c r="J116" s="26">
        <v>1</v>
      </c>
      <c r="K116" s="26" t="s">
        <v>31</v>
      </c>
      <c r="L116" s="26" t="s">
        <v>31</v>
      </c>
      <c r="M116" s="26" t="s">
        <v>31</v>
      </c>
      <c r="N116" s="26"/>
    </row>
    <row r="117" spans="1:14">
      <c r="A117" s="32" t="s">
        <v>1643</v>
      </c>
      <c r="B117" s="34">
        <v>219.59999999999997</v>
      </c>
      <c r="C117" s="26" t="s">
        <v>37</v>
      </c>
      <c r="D117" s="26" t="s">
        <v>40</v>
      </c>
      <c r="E117" s="26" t="s">
        <v>29</v>
      </c>
      <c r="F117" s="26" t="s">
        <v>35</v>
      </c>
      <c r="G117" s="26" t="s">
        <v>33</v>
      </c>
      <c r="H117" s="26">
        <v>2</v>
      </c>
      <c r="I117" s="26">
        <f t="shared" si="4"/>
        <v>5.3918077096353754</v>
      </c>
      <c r="J117" s="26">
        <v>1</v>
      </c>
      <c r="K117" s="26" t="s">
        <v>31</v>
      </c>
      <c r="L117" s="26" t="s">
        <v>31</v>
      </c>
      <c r="M117" s="26" t="s">
        <v>31</v>
      </c>
      <c r="N117" s="26"/>
    </row>
    <row r="118" spans="1:14">
      <c r="A118" s="32" t="s">
        <v>610</v>
      </c>
      <c r="B118" s="34">
        <v>219.59999999999997</v>
      </c>
      <c r="C118" s="26" t="s">
        <v>37</v>
      </c>
      <c r="D118" s="26" t="s">
        <v>40</v>
      </c>
      <c r="E118" s="26" t="s">
        <v>29</v>
      </c>
      <c r="F118" s="26" t="s">
        <v>58</v>
      </c>
      <c r="G118" s="26" t="s">
        <v>33</v>
      </c>
      <c r="H118" s="26">
        <v>2</v>
      </c>
      <c r="I118" s="26">
        <f t="shared" si="4"/>
        <v>5.3918077096353754</v>
      </c>
      <c r="J118" s="26">
        <v>1</v>
      </c>
      <c r="K118" s="26" t="s">
        <v>31</v>
      </c>
      <c r="L118" s="26" t="s">
        <v>31</v>
      </c>
      <c r="M118" s="26" t="s">
        <v>31</v>
      </c>
      <c r="N118" s="26"/>
    </row>
    <row r="119" spans="1:14">
      <c r="A119" s="32" t="s">
        <v>334</v>
      </c>
      <c r="B119" s="34">
        <v>1684.7999999999997</v>
      </c>
      <c r="C119" s="26" t="s">
        <v>37</v>
      </c>
      <c r="D119" s="26" t="s">
        <v>40</v>
      </c>
      <c r="E119" s="26" t="s">
        <v>29</v>
      </c>
      <c r="F119" s="26" t="s">
        <v>58</v>
      </c>
      <c r="G119" s="26" t="s">
        <v>33</v>
      </c>
      <c r="H119" s="26">
        <v>2</v>
      </c>
      <c r="I119" s="26">
        <f t="shared" si="4"/>
        <v>7.4294021413797111</v>
      </c>
      <c r="J119" s="26">
        <v>1</v>
      </c>
      <c r="K119" s="26" t="s">
        <v>31</v>
      </c>
      <c r="L119" s="26" t="s">
        <v>31</v>
      </c>
      <c r="M119" s="26" t="s">
        <v>31</v>
      </c>
      <c r="N119" s="26"/>
    </row>
    <row r="120" spans="1:14">
      <c r="A120" s="32" t="s">
        <v>1644</v>
      </c>
      <c r="B120" s="34">
        <v>1367.9999999999998</v>
      </c>
      <c r="C120" s="26" t="s">
        <v>37</v>
      </c>
      <c r="D120" s="26" t="s">
        <v>40</v>
      </c>
      <c r="E120" s="26" t="s">
        <v>29</v>
      </c>
      <c r="F120" s="26" t="s">
        <v>58</v>
      </c>
      <c r="G120" s="26" t="s">
        <v>33</v>
      </c>
      <c r="H120" s="26">
        <v>2</v>
      </c>
      <c r="I120" s="26">
        <f t="shared" si="4"/>
        <v>7.2211050981824956</v>
      </c>
      <c r="J120" s="26">
        <v>1</v>
      </c>
      <c r="K120" s="26" t="s">
        <v>31</v>
      </c>
      <c r="L120" s="26" t="s">
        <v>31</v>
      </c>
      <c r="M120" s="26" t="s">
        <v>31</v>
      </c>
      <c r="N120" s="26"/>
    </row>
    <row r="121" spans="1:14" ht="15.75">
      <c r="A121" s="29" t="s">
        <v>5</v>
      </c>
      <c r="B121" s="29" t="s">
        <v>1631</v>
      </c>
      <c r="C121" s="30"/>
      <c r="D121" s="31"/>
      <c r="E121" s="31"/>
      <c r="F121" s="31"/>
      <c r="G121" s="31"/>
      <c r="H121" s="31"/>
      <c r="I121" s="31"/>
      <c r="J121" s="31"/>
      <c r="K121" s="31"/>
      <c r="L121" s="31"/>
      <c r="M121" s="31"/>
      <c r="N121" s="31"/>
    </row>
    <row r="122" spans="1:14">
      <c r="A122" s="26" t="s">
        <v>7</v>
      </c>
      <c r="B122" s="26" t="s">
        <v>1583</v>
      </c>
      <c r="C122" s="26"/>
      <c r="D122" s="26"/>
      <c r="E122" s="26"/>
      <c r="F122" s="26"/>
      <c r="G122" s="26"/>
      <c r="H122" s="26"/>
      <c r="I122" s="26"/>
      <c r="J122" s="26"/>
      <c r="K122" s="26"/>
      <c r="L122" s="26"/>
      <c r="M122" s="26"/>
      <c r="N122" s="26"/>
    </row>
    <row r="123" spans="1:14">
      <c r="A123" s="26" t="s">
        <v>9</v>
      </c>
      <c r="B123" s="26" t="s">
        <v>1645</v>
      </c>
      <c r="C123" s="26"/>
      <c r="D123" s="26"/>
      <c r="E123" s="26"/>
      <c r="F123" s="26"/>
      <c r="G123" s="26"/>
      <c r="H123" s="26"/>
      <c r="I123" s="26"/>
      <c r="J123" s="26"/>
      <c r="K123" s="26"/>
      <c r="L123" s="26"/>
      <c r="M123" s="26"/>
      <c r="N123" s="26"/>
    </row>
    <row r="124" spans="1:14" ht="38.25">
      <c r="A124" s="26" t="s">
        <v>11</v>
      </c>
      <c r="B124" s="37" t="s">
        <v>1646</v>
      </c>
      <c r="C124" s="26"/>
      <c r="D124" s="26"/>
      <c r="E124" s="26"/>
      <c r="F124" s="26"/>
      <c r="G124" s="26"/>
      <c r="H124" s="26"/>
      <c r="I124" s="26"/>
      <c r="J124" s="26"/>
      <c r="K124" s="26"/>
      <c r="L124" s="26"/>
      <c r="M124" s="26"/>
      <c r="N124" s="26"/>
    </row>
    <row r="125" spans="1:14">
      <c r="A125" s="26" t="s">
        <v>13</v>
      </c>
      <c r="B125" s="26" t="s">
        <v>14</v>
      </c>
      <c r="C125" s="26"/>
      <c r="D125" s="26"/>
      <c r="E125" s="26"/>
      <c r="F125" s="26"/>
      <c r="G125" s="26"/>
      <c r="H125" s="26"/>
      <c r="I125" s="26"/>
      <c r="J125" s="26"/>
      <c r="K125" s="26"/>
      <c r="L125" s="26"/>
      <c r="M125" s="26"/>
      <c r="N125" s="26"/>
    </row>
    <row r="126" spans="1:14">
      <c r="A126" s="26" t="s">
        <v>15</v>
      </c>
      <c r="B126" s="32">
        <v>1</v>
      </c>
      <c r="C126" s="26"/>
      <c r="D126" s="26"/>
      <c r="E126" s="26"/>
      <c r="F126" s="26"/>
      <c r="G126" s="26"/>
      <c r="H126" s="26"/>
      <c r="I126" s="26"/>
      <c r="J126" s="26"/>
      <c r="K126" s="26"/>
      <c r="L126" s="26"/>
      <c r="M126" s="26"/>
      <c r="N126" s="26"/>
    </row>
    <row r="127" spans="1:14">
      <c r="A127" s="26" t="s">
        <v>16</v>
      </c>
      <c r="B127" s="26" t="s">
        <v>17</v>
      </c>
      <c r="C127" s="26"/>
      <c r="D127" s="26"/>
      <c r="E127" s="26"/>
      <c r="F127" s="26"/>
      <c r="G127" s="26"/>
      <c r="H127" s="26"/>
      <c r="I127" s="26"/>
      <c r="J127" s="26"/>
      <c r="K127" s="26"/>
      <c r="L127" s="26"/>
      <c r="M127" s="26"/>
      <c r="N127" s="26"/>
    </row>
    <row r="128" spans="1:14">
      <c r="A128" s="26" t="s">
        <v>18</v>
      </c>
      <c r="B128" s="26" t="s">
        <v>18</v>
      </c>
      <c r="C128" s="26"/>
      <c r="D128" s="26"/>
      <c r="E128" s="26"/>
      <c r="F128" s="26"/>
      <c r="G128" s="26"/>
      <c r="H128" s="26"/>
      <c r="I128" s="26"/>
      <c r="J128" s="26"/>
      <c r="K128" s="26"/>
      <c r="L128" s="26"/>
      <c r="M128" s="26"/>
      <c r="N128" s="26"/>
    </row>
    <row r="129" spans="1:14" ht="15.75">
      <c r="A129" s="27" t="s">
        <v>19</v>
      </c>
    </row>
    <row r="130" spans="1:14" ht="15.75">
      <c r="A130" s="27" t="s">
        <v>20</v>
      </c>
      <c r="B130" s="27" t="s">
        <v>21</v>
      </c>
      <c r="C130" s="27" t="s">
        <v>18</v>
      </c>
      <c r="D130" s="27" t="s">
        <v>22</v>
      </c>
      <c r="E130" s="27" t="s">
        <v>7</v>
      </c>
      <c r="F130" s="27" t="s">
        <v>13</v>
      </c>
      <c r="G130" s="27" t="s">
        <v>16</v>
      </c>
      <c r="H130" s="27" t="s">
        <v>23</v>
      </c>
      <c r="I130" s="27" t="s">
        <v>24</v>
      </c>
      <c r="J130" s="27" t="s">
        <v>25</v>
      </c>
      <c r="K130" s="27" t="s">
        <v>26</v>
      </c>
      <c r="L130" s="27" t="s">
        <v>27</v>
      </c>
      <c r="M130" s="27" t="s">
        <v>28</v>
      </c>
      <c r="N130" s="27" t="s">
        <v>68</v>
      </c>
    </row>
    <row r="131" spans="1:14">
      <c r="A131" s="26" t="s">
        <v>1631</v>
      </c>
      <c r="B131" s="26">
        <f>B126</f>
        <v>1</v>
      </c>
      <c r="C131" s="26" t="str">
        <f>B128</f>
        <v>unit</v>
      </c>
      <c r="D131" s="26" t="s">
        <v>2</v>
      </c>
      <c r="E131" s="26" t="s">
        <v>29</v>
      </c>
      <c r="F131" s="26" t="str">
        <f>B125</f>
        <v>EUR</v>
      </c>
      <c r="G131" s="26" t="s">
        <v>30</v>
      </c>
      <c r="H131" s="26">
        <v>0</v>
      </c>
      <c r="I131" s="26">
        <f>B131</f>
        <v>1</v>
      </c>
      <c r="J131" s="26" t="s">
        <v>31</v>
      </c>
      <c r="K131" s="26" t="s">
        <v>31</v>
      </c>
      <c r="L131" s="26" t="s">
        <v>31</v>
      </c>
      <c r="M131" s="26" t="s">
        <v>31</v>
      </c>
      <c r="N131" s="26"/>
    </row>
    <row r="132" spans="1:14">
      <c r="A132" s="26" t="s">
        <v>688</v>
      </c>
      <c r="B132" s="26">
        <v>140400.00000000003</v>
      </c>
      <c r="C132" s="26" t="s">
        <v>37</v>
      </c>
      <c r="D132" s="26" t="s">
        <v>40</v>
      </c>
      <c r="E132" s="26" t="s">
        <v>29</v>
      </c>
      <c r="F132" s="26" t="s">
        <v>58</v>
      </c>
      <c r="G132" s="26" t="s">
        <v>33</v>
      </c>
      <c r="H132" s="26">
        <v>2</v>
      </c>
      <c r="I132" s="26">
        <f t="shared" ref="I132:I137" si="5">LN(B132)</f>
        <v>11.852250770573848</v>
      </c>
      <c r="J132" s="26">
        <v>1</v>
      </c>
      <c r="K132" s="26" t="s">
        <v>31</v>
      </c>
      <c r="L132" s="26" t="s">
        <v>31</v>
      </c>
      <c r="M132" s="26" t="s">
        <v>31</v>
      </c>
      <c r="N132" s="26"/>
    </row>
    <row r="133" spans="1:14">
      <c r="A133" s="26" t="s">
        <v>688</v>
      </c>
      <c r="B133" s="26">
        <v>88200.090000000011</v>
      </c>
      <c r="C133" s="26" t="s">
        <v>37</v>
      </c>
      <c r="D133" s="26" t="s">
        <v>40</v>
      </c>
      <c r="E133" s="26" t="s">
        <v>29</v>
      </c>
      <c r="F133" s="26" t="s">
        <v>58</v>
      </c>
      <c r="G133" s="26" t="s">
        <v>33</v>
      </c>
      <c r="H133" s="26">
        <v>2</v>
      </c>
      <c r="I133" s="26">
        <f t="shared" si="5"/>
        <v>11.387363262402525</v>
      </c>
      <c r="J133" s="26">
        <v>1</v>
      </c>
      <c r="K133" s="26" t="s">
        <v>31</v>
      </c>
      <c r="L133" s="26" t="s">
        <v>31</v>
      </c>
      <c r="M133" s="26" t="s">
        <v>31</v>
      </c>
      <c r="N133" s="26"/>
    </row>
    <row r="134" spans="1:14">
      <c r="A134" s="26" t="s">
        <v>600</v>
      </c>
      <c r="B134" s="26">
        <v>88200.090000000011</v>
      </c>
      <c r="C134" s="26" t="s">
        <v>37</v>
      </c>
      <c r="D134" s="26" t="s">
        <v>40</v>
      </c>
      <c r="E134" s="26" t="s">
        <v>29</v>
      </c>
      <c r="F134" s="26" t="s">
        <v>58</v>
      </c>
      <c r="G134" s="26" t="s">
        <v>33</v>
      </c>
      <c r="H134" s="26">
        <v>2</v>
      </c>
      <c r="I134" s="26">
        <f t="shared" si="5"/>
        <v>11.387363262402525</v>
      </c>
      <c r="J134" s="26">
        <v>1</v>
      </c>
      <c r="K134" s="26" t="s">
        <v>31</v>
      </c>
      <c r="L134" s="26" t="s">
        <v>31</v>
      </c>
      <c r="M134" s="26" t="s">
        <v>31</v>
      </c>
      <c r="N134" s="26"/>
    </row>
    <row r="135" spans="1:14">
      <c r="A135" s="26" t="s">
        <v>238</v>
      </c>
      <c r="B135" s="26">
        <v>12960.000000000004</v>
      </c>
      <c r="C135" s="26" t="s">
        <v>37</v>
      </c>
      <c r="D135" s="26" t="s">
        <v>40</v>
      </c>
      <c r="E135" s="26" t="s">
        <v>29</v>
      </c>
      <c r="F135" s="26" t="s">
        <v>58</v>
      </c>
      <c r="G135" s="26" t="s">
        <v>33</v>
      </c>
      <c r="H135" s="26">
        <v>2</v>
      </c>
      <c r="I135" s="26">
        <f t="shared" si="5"/>
        <v>9.4696229699062666</v>
      </c>
      <c r="J135" s="26">
        <v>1</v>
      </c>
      <c r="K135" s="26" t="s">
        <v>31</v>
      </c>
      <c r="L135" s="26" t="s">
        <v>31</v>
      </c>
      <c r="M135" s="26" t="s">
        <v>31</v>
      </c>
      <c r="N135" s="26"/>
    </row>
    <row r="136" spans="1:14">
      <c r="A136" s="26" t="s">
        <v>342</v>
      </c>
      <c r="B136" s="26">
        <v>87840</v>
      </c>
      <c r="C136" s="26" t="s">
        <v>37</v>
      </c>
      <c r="D136" s="26" t="s">
        <v>40</v>
      </c>
      <c r="E136" s="26" t="s">
        <v>29</v>
      </c>
      <c r="F136" s="26" t="s">
        <v>58</v>
      </c>
      <c r="G136" s="26" t="s">
        <v>33</v>
      </c>
      <c r="H136" s="26">
        <v>2</v>
      </c>
      <c r="I136" s="26">
        <f t="shared" si="5"/>
        <v>11.383272256743357</v>
      </c>
      <c r="J136" s="26">
        <v>1</v>
      </c>
      <c r="K136" s="26" t="s">
        <v>31</v>
      </c>
      <c r="L136" s="26" t="s">
        <v>31</v>
      </c>
      <c r="M136" s="26" t="s">
        <v>31</v>
      </c>
      <c r="N136" s="26"/>
    </row>
    <row r="137" spans="1:14">
      <c r="A137" s="26" t="s">
        <v>348</v>
      </c>
      <c r="B137" s="26">
        <v>12600.000000000002</v>
      </c>
      <c r="C137" s="26" t="s">
        <v>37</v>
      </c>
      <c r="D137" s="26" t="s">
        <v>40</v>
      </c>
      <c r="E137" s="26" t="s">
        <v>29</v>
      </c>
      <c r="F137" s="26" t="s">
        <v>58</v>
      </c>
      <c r="G137" s="26" t="s">
        <v>33</v>
      </c>
      <c r="H137" s="26">
        <v>2</v>
      </c>
      <c r="I137" s="26">
        <f t="shared" si="5"/>
        <v>9.4414520929395689</v>
      </c>
      <c r="J137" s="26">
        <v>1</v>
      </c>
      <c r="K137" s="26" t="s">
        <v>31</v>
      </c>
      <c r="L137" s="26" t="s">
        <v>31</v>
      </c>
      <c r="M137" s="26" t="s">
        <v>31</v>
      </c>
      <c r="N137" s="26"/>
    </row>
    <row r="138" spans="1:14" ht="15.75">
      <c r="A138" s="29" t="s">
        <v>5</v>
      </c>
      <c r="B138" s="29" t="s">
        <v>1632</v>
      </c>
      <c r="C138" s="30"/>
      <c r="D138" s="31"/>
      <c r="E138" s="31"/>
      <c r="F138" s="31"/>
      <c r="G138" s="31"/>
      <c r="H138" s="31"/>
      <c r="I138" s="31"/>
      <c r="J138" s="31"/>
      <c r="K138" s="31"/>
      <c r="L138" s="31"/>
      <c r="M138" s="31"/>
      <c r="N138" s="31"/>
    </row>
    <row r="139" spans="1:14">
      <c r="A139" s="26" t="s">
        <v>7</v>
      </c>
      <c r="B139" s="26" t="s">
        <v>1583</v>
      </c>
      <c r="C139" s="26"/>
      <c r="D139" s="26"/>
      <c r="E139" s="26"/>
      <c r="F139" s="26"/>
      <c r="G139" s="26"/>
      <c r="H139" s="26"/>
      <c r="I139" s="26"/>
      <c r="J139" s="26"/>
      <c r="K139" s="26"/>
      <c r="L139" s="26"/>
      <c r="M139" s="26"/>
      <c r="N139" s="26"/>
    </row>
    <row r="140" spans="1:14">
      <c r="A140" s="26" t="s">
        <v>9</v>
      </c>
      <c r="B140" s="26" t="s">
        <v>1647</v>
      </c>
      <c r="C140" s="26"/>
      <c r="D140" s="26"/>
      <c r="E140" s="26"/>
      <c r="F140" s="26"/>
      <c r="G140" s="26"/>
      <c r="H140" s="26"/>
      <c r="I140" s="26"/>
      <c r="J140" s="26"/>
      <c r="K140" s="26"/>
      <c r="L140" s="26"/>
      <c r="M140" s="26"/>
      <c r="N140" s="26"/>
    </row>
    <row r="141" spans="1:14" ht="38.25">
      <c r="A141" s="26" t="s">
        <v>11</v>
      </c>
      <c r="B141" s="37" t="s">
        <v>1648</v>
      </c>
      <c r="C141" s="26"/>
      <c r="D141" s="26"/>
      <c r="E141" s="26"/>
      <c r="F141" s="26"/>
      <c r="G141" s="26"/>
      <c r="H141" s="26"/>
      <c r="I141" s="26"/>
      <c r="J141" s="26"/>
      <c r="K141" s="26"/>
      <c r="L141" s="26"/>
      <c r="M141" s="26"/>
      <c r="N141" s="26"/>
    </row>
    <row r="142" spans="1:14">
      <c r="A142" s="26" t="s">
        <v>13</v>
      </c>
      <c r="B142" s="26" t="s">
        <v>14</v>
      </c>
      <c r="C142" s="26"/>
      <c r="D142" s="26"/>
      <c r="E142" s="26"/>
      <c r="F142" s="26"/>
      <c r="G142" s="26"/>
      <c r="H142" s="26"/>
      <c r="I142" s="26"/>
      <c r="J142" s="26"/>
      <c r="K142" s="26"/>
      <c r="L142" s="26"/>
      <c r="M142" s="26"/>
      <c r="N142" s="26"/>
    </row>
    <row r="143" spans="1:14">
      <c r="A143" s="26" t="s">
        <v>15</v>
      </c>
      <c r="B143" s="32">
        <v>1</v>
      </c>
      <c r="C143" s="26"/>
      <c r="D143" s="26"/>
      <c r="E143" s="26"/>
      <c r="F143" s="26"/>
      <c r="G143" s="26"/>
      <c r="H143" s="26"/>
      <c r="I143" s="26"/>
      <c r="J143" s="26"/>
      <c r="K143" s="26"/>
      <c r="L143" s="26"/>
      <c r="M143" s="26"/>
      <c r="N143" s="26"/>
    </row>
    <row r="144" spans="1:14">
      <c r="A144" s="26" t="s">
        <v>16</v>
      </c>
      <c r="B144" s="26" t="s">
        <v>17</v>
      </c>
      <c r="C144" s="26"/>
      <c r="D144" s="26"/>
      <c r="E144" s="26"/>
      <c r="F144" s="26"/>
      <c r="G144" s="26"/>
      <c r="H144" s="26"/>
      <c r="I144" s="26"/>
      <c r="J144" s="26"/>
      <c r="K144" s="26"/>
      <c r="L144" s="26"/>
      <c r="M144" s="26"/>
      <c r="N144" s="26"/>
    </row>
    <row r="145" spans="1:14">
      <c r="A145" s="26" t="s">
        <v>18</v>
      </c>
      <c r="B145" s="26" t="s">
        <v>18</v>
      </c>
      <c r="C145" s="26"/>
      <c r="D145" s="26"/>
      <c r="E145" s="26"/>
      <c r="F145" s="26"/>
      <c r="G145" s="26"/>
      <c r="H145" s="26"/>
      <c r="I145" s="26"/>
      <c r="J145" s="26"/>
      <c r="K145" s="26"/>
      <c r="L145" s="26"/>
      <c r="M145" s="26"/>
      <c r="N145" s="26"/>
    </row>
    <row r="146" spans="1:14" ht="15.75">
      <c r="A146" s="27" t="s">
        <v>19</v>
      </c>
    </row>
    <row r="147" spans="1:14" ht="15.75">
      <c r="A147" s="27" t="s">
        <v>20</v>
      </c>
      <c r="B147" s="27" t="s">
        <v>21</v>
      </c>
      <c r="C147" s="27" t="s">
        <v>18</v>
      </c>
      <c r="D147" s="27" t="s">
        <v>22</v>
      </c>
      <c r="E147" s="27" t="s">
        <v>7</v>
      </c>
      <c r="F147" s="27" t="s">
        <v>13</v>
      </c>
      <c r="G147" s="27" t="s">
        <v>16</v>
      </c>
      <c r="H147" s="27" t="s">
        <v>23</v>
      </c>
      <c r="I147" s="27" t="s">
        <v>24</v>
      </c>
      <c r="J147" s="27" t="s">
        <v>25</v>
      </c>
      <c r="K147" s="27" t="s">
        <v>26</v>
      </c>
      <c r="L147" s="27" t="s">
        <v>27</v>
      </c>
      <c r="M147" s="27" t="s">
        <v>28</v>
      </c>
      <c r="N147" s="27" t="s">
        <v>68</v>
      </c>
    </row>
    <row r="148" spans="1:14">
      <c r="A148" s="26" t="s">
        <v>1632</v>
      </c>
      <c r="B148" s="26">
        <f>B143</f>
        <v>1</v>
      </c>
      <c r="C148" s="26" t="str">
        <f>B145</f>
        <v>unit</v>
      </c>
      <c r="D148" s="26" t="s">
        <v>2</v>
      </c>
      <c r="E148" s="26" t="s">
        <v>29</v>
      </c>
      <c r="F148" s="26" t="str">
        <f>B142</f>
        <v>EUR</v>
      </c>
      <c r="G148" s="26" t="s">
        <v>30</v>
      </c>
      <c r="H148" s="26">
        <v>0</v>
      </c>
      <c r="I148" s="26">
        <f>B148</f>
        <v>1</v>
      </c>
      <c r="J148" s="26" t="s">
        <v>31</v>
      </c>
      <c r="K148" s="26" t="s">
        <v>31</v>
      </c>
      <c r="L148" s="26" t="s">
        <v>31</v>
      </c>
      <c r="M148" s="26" t="s">
        <v>31</v>
      </c>
      <c r="N148" s="26"/>
    </row>
    <row r="149" spans="1:14">
      <c r="A149" s="32" t="s">
        <v>688</v>
      </c>
      <c r="B149" s="34">
        <v>1836.0000000000002</v>
      </c>
      <c r="C149" s="26" t="s">
        <v>37</v>
      </c>
      <c r="D149" s="26" t="s">
        <v>40</v>
      </c>
      <c r="E149" s="26" t="s">
        <v>29</v>
      </c>
      <c r="F149" s="26" t="s">
        <v>58</v>
      </c>
      <c r="G149" s="26" t="s">
        <v>33</v>
      </c>
      <c r="H149" s="26">
        <v>2</v>
      </c>
      <c r="I149" s="26">
        <f t="shared" ref="I149:I166" si="6">LN(B149)</f>
        <v>7.5153445711804361</v>
      </c>
      <c r="J149" s="26">
        <v>1</v>
      </c>
      <c r="K149" s="26" t="s">
        <v>31</v>
      </c>
      <c r="L149" s="26" t="s">
        <v>31</v>
      </c>
      <c r="M149" s="26" t="s">
        <v>31</v>
      </c>
      <c r="N149" s="26"/>
    </row>
    <row r="150" spans="1:14">
      <c r="A150" s="32" t="s">
        <v>682</v>
      </c>
      <c r="B150" s="34">
        <v>1836.0000000000002</v>
      </c>
      <c r="C150" s="26" t="s">
        <v>37</v>
      </c>
      <c r="D150" s="26" t="s">
        <v>40</v>
      </c>
      <c r="E150" s="26" t="s">
        <v>29</v>
      </c>
      <c r="F150" s="26" t="s">
        <v>58</v>
      </c>
      <c r="G150" s="26" t="s">
        <v>33</v>
      </c>
      <c r="H150" s="26">
        <v>2</v>
      </c>
      <c r="I150" s="26">
        <f t="shared" si="6"/>
        <v>7.5153445711804361</v>
      </c>
      <c r="J150" s="26">
        <v>1</v>
      </c>
      <c r="K150" s="26" t="s">
        <v>31</v>
      </c>
      <c r="L150" s="26" t="s">
        <v>31</v>
      </c>
      <c r="M150" s="26" t="s">
        <v>31</v>
      </c>
      <c r="N150" s="26"/>
    </row>
    <row r="151" spans="1:14">
      <c r="A151" s="32" t="s">
        <v>600</v>
      </c>
      <c r="B151" s="34">
        <v>162.00000000000003</v>
      </c>
      <c r="C151" s="26" t="s">
        <v>37</v>
      </c>
      <c r="D151" s="26" t="s">
        <v>40</v>
      </c>
      <c r="E151" s="26" t="s">
        <v>29</v>
      </c>
      <c r="F151" s="26" t="s">
        <v>58</v>
      </c>
      <c r="G151" s="26" t="s">
        <v>33</v>
      </c>
      <c r="H151" s="26">
        <v>2</v>
      </c>
      <c r="I151" s="26">
        <f t="shared" si="6"/>
        <v>5.0875963352323845</v>
      </c>
      <c r="J151" s="26">
        <v>1</v>
      </c>
      <c r="K151" s="26" t="s">
        <v>31</v>
      </c>
      <c r="L151" s="26" t="s">
        <v>31</v>
      </c>
      <c r="M151" s="26" t="s">
        <v>31</v>
      </c>
      <c r="N151" s="26"/>
    </row>
    <row r="152" spans="1:14">
      <c r="A152" s="26" t="s">
        <v>682</v>
      </c>
      <c r="B152" s="34">
        <v>5691.6</v>
      </c>
      <c r="C152" s="26" t="s">
        <v>37</v>
      </c>
      <c r="D152" s="26" t="s">
        <v>40</v>
      </c>
      <c r="E152" s="26" t="s">
        <v>29</v>
      </c>
      <c r="F152" s="26" t="s">
        <v>58</v>
      </c>
      <c r="G152" s="26" t="s">
        <v>33</v>
      </c>
      <c r="H152" s="26">
        <v>2</v>
      </c>
      <c r="I152" s="26">
        <f t="shared" si="6"/>
        <v>8.6467466826715356</v>
      </c>
      <c r="J152" s="26">
        <v>1</v>
      </c>
      <c r="K152" s="26" t="s">
        <v>31</v>
      </c>
      <c r="L152" s="26" t="s">
        <v>31</v>
      </c>
      <c r="M152" s="26" t="s">
        <v>31</v>
      </c>
      <c r="N152" s="26"/>
    </row>
    <row r="153" spans="1:14">
      <c r="A153" s="26" t="s">
        <v>238</v>
      </c>
      <c r="B153" s="34">
        <v>828</v>
      </c>
      <c r="C153" s="26" t="s">
        <v>37</v>
      </c>
      <c r="D153" s="26" t="s">
        <v>40</v>
      </c>
      <c r="E153" s="26" t="s">
        <v>29</v>
      </c>
      <c r="F153" s="26" t="s">
        <v>58</v>
      </c>
      <c r="G153" s="26" t="s">
        <v>33</v>
      </c>
      <c r="H153" s="26">
        <v>2</v>
      </c>
      <c r="I153" s="26">
        <f t="shared" si="6"/>
        <v>6.7190131543852596</v>
      </c>
      <c r="J153" s="26">
        <v>1</v>
      </c>
      <c r="K153" s="26" t="s">
        <v>31</v>
      </c>
      <c r="L153" s="26" t="s">
        <v>31</v>
      </c>
      <c r="M153" s="26" t="s">
        <v>31</v>
      </c>
      <c r="N153" s="26"/>
    </row>
    <row r="154" spans="1:14">
      <c r="A154" s="26" t="s">
        <v>342</v>
      </c>
      <c r="B154" s="34">
        <v>1087.2000000000003</v>
      </c>
      <c r="C154" s="26" t="s">
        <v>37</v>
      </c>
      <c r="D154" s="26" t="s">
        <v>40</v>
      </c>
      <c r="E154" s="26" t="s">
        <v>29</v>
      </c>
      <c r="F154" s="26" t="s">
        <v>58</v>
      </c>
      <c r="G154" s="26" t="s">
        <v>33</v>
      </c>
      <c r="H154" s="26">
        <v>2</v>
      </c>
      <c r="I154" s="26">
        <f t="shared" si="6"/>
        <v>6.9913608628369346</v>
      </c>
      <c r="J154" s="26">
        <v>1</v>
      </c>
      <c r="K154" s="26" t="s">
        <v>31</v>
      </c>
      <c r="L154" s="26" t="s">
        <v>31</v>
      </c>
      <c r="M154" s="26" t="s">
        <v>31</v>
      </c>
      <c r="N154" s="26"/>
    </row>
    <row r="155" spans="1:14">
      <c r="A155" s="32" t="s">
        <v>1638</v>
      </c>
      <c r="B155" s="34">
        <v>54.000000000000007</v>
      </c>
      <c r="C155" s="26" t="s">
        <v>37</v>
      </c>
      <c r="D155" s="26" t="s">
        <v>40</v>
      </c>
      <c r="E155" s="26" t="s">
        <v>29</v>
      </c>
      <c r="F155" s="26" t="s">
        <v>58</v>
      </c>
      <c r="G155" s="26" t="s">
        <v>33</v>
      </c>
      <c r="H155" s="26">
        <v>2</v>
      </c>
      <c r="I155" s="26">
        <f t="shared" si="6"/>
        <v>3.9889840465642745</v>
      </c>
      <c r="J155" s="26">
        <v>1</v>
      </c>
      <c r="K155" s="26" t="s">
        <v>31</v>
      </c>
      <c r="L155" s="26" t="s">
        <v>31</v>
      </c>
      <c r="M155" s="26" t="s">
        <v>31</v>
      </c>
      <c r="N155" s="26"/>
    </row>
    <row r="156" spans="1:14">
      <c r="A156" s="32" t="s">
        <v>1639</v>
      </c>
      <c r="B156" s="34">
        <v>72.000000000000014</v>
      </c>
      <c r="C156" s="26" t="s">
        <v>37</v>
      </c>
      <c r="D156" s="26" t="s">
        <v>40</v>
      </c>
      <c r="E156" s="26" t="s">
        <v>29</v>
      </c>
      <c r="F156" s="26" t="s">
        <v>128</v>
      </c>
      <c r="G156" s="26" t="s">
        <v>33</v>
      </c>
      <c r="H156" s="26">
        <v>2</v>
      </c>
      <c r="I156" s="26">
        <f t="shared" si="6"/>
        <v>4.2766661190160553</v>
      </c>
      <c r="J156" s="26">
        <v>1</v>
      </c>
      <c r="K156" s="26" t="s">
        <v>31</v>
      </c>
      <c r="L156" s="26" t="s">
        <v>31</v>
      </c>
      <c r="M156" s="26" t="s">
        <v>31</v>
      </c>
      <c r="N156" s="26"/>
    </row>
    <row r="157" spans="1:14">
      <c r="A157" s="32" t="s">
        <v>1649</v>
      </c>
      <c r="B157" s="34">
        <v>16632.000000000004</v>
      </c>
      <c r="C157" s="26" t="s">
        <v>37</v>
      </c>
      <c r="D157" s="26" t="s">
        <v>40</v>
      </c>
      <c r="E157" s="26" t="s">
        <v>29</v>
      </c>
      <c r="F157" s="26" t="s">
        <v>128</v>
      </c>
      <c r="G157" s="26" t="s">
        <v>33</v>
      </c>
      <c r="H157" s="26">
        <v>2</v>
      </c>
      <c r="I157" s="26">
        <f t="shared" si="6"/>
        <v>9.7190838295378494</v>
      </c>
      <c r="J157" s="26">
        <v>1</v>
      </c>
      <c r="K157" s="26" t="s">
        <v>31</v>
      </c>
      <c r="L157" s="26" t="s">
        <v>31</v>
      </c>
      <c r="M157" s="26" t="s">
        <v>31</v>
      </c>
      <c r="N157" s="32" t="s">
        <v>1650</v>
      </c>
    </row>
    <row r="158" spans="1:14">
      <c r="A158" s="32" t="s">
        <v>1642</v>
      </c>
      <c r="B158" s="34">
        <v>8575.2000000000007</v>
      </c>
      <c r="C158" s="26" t="s">
        <v>37</v>
      </c>
      <c r="D158" s="26" t="s">
        <v>40</v>
      </c>
      <c r="E158" s="26" t="s">
        <v>29</v>
      </c>
      <c r="F158" s="26" t="s">
        <v>58</v>
      </c>
      <c r="G158" s="26" t="s">
        <v>33</v>
      </c>
      <c r="H158" s="26">
        <v>2</v>
      </c>
      <c r="I158" s="26">
        <f t="shared" si="6"/>
        <v>9.0566295953773093</v>
      </c>
      <c r="J158" s="26">
        <v>1</v>
      </c>
      <c r="K158" s="26" t="s">
        <v>31</v>
      </c>
      <c r="L158" s="26" t="s">
        <v>31</v>
      </c>
      <c r="M158" s="26" t="s">
        <v>31</v>
      </c>
      <c r="N158" s="26"/>
    </row>
    <row r="159" spans="1:14">
      <c r="A159" s="32" t="s">
        <v>348</v>
      </c>
      <c r="B159" s="34">
        <v>2192.4</v>
      </c>
      <c r="C159" s="26" t="s">
        <v>37</v>
      </c>
      <c r="D159" s="26" t="s">
        <v>40</v>
      </c>
      <c r="E159" s="26" t="s">
        <v>29</v>
      </c>
      <c r="F159" s="26" t="s">
        <v>58</v>
      </c>
      <c r="G159" s="26" t="s">
        <v>33</v>
      </c>
      <c r="H159" s="26">
        <v>2</v>
      </c>
      <c r="I159" s="26">
        <f t="shared" si="6"/>
        <v>7.6927521131719612</v>
      </c>
      <c r="J159" s="26">
        <v>1</v>
      </c>
      <c r="K159" s="26" t="s">
        <v>31</v>
      </c>
      <c r="L159" s="26" t="s">
        <v>31</v>
      </c>
      <c r="M159" s="26" t="s">
        <v>31</v>
      </c>
      <c r="N159" s="26"/>
    </row>
    <row r="160" spans="1:14">
      <c r="A160" s="26" t="s">
        <v>1624</v>
      </c>
      <c r="B160" s="34">
        <v>1227.6000000000001</v>
      </c>
      <c r="C160" s="26" t="s">
        <v>37</v>
      </c>
      <c r="D160" s="26" t="s">
        <v>40</v>
      </c>
      <c r="E160" s="26" t="s">
        <v>29</v>
      </c>
      <c r="F160" s="26" t="s">
        <v>58</v>
      </c>
      <c r="G160" s="26" t="s">
        <v>33</v>
      </c>
      <c r="H160" s="26">
        <v>2</v>
      </c>
      <c r="I160" s="26">
        <f t="shared" si="6"/>
        <v>7.112816322745581</v>
      </c>
      <c r="J160" s="26">
        <v>1</v>
      </c>
      <c r="K160" s="26" t="s">
        <v>31</v>
      </c>
      <c r="L160" s="26" t="s">
        <v>31</v>
      </c>
      <c r="M160" s="26" t="s">
        <v>31</v>
      </c>
      <c r="N160" s="26"/>
    </row>
    <row r="161" spans="1:14">
      <c r="A161" s="26" t="s">
        <v>610</v>
      </c>
      <c r="B161" s="34">
        <v>1227.6000000000001</v>
      </c>
      <c r="C161" s="26" t="s">
        <v>37</v>
      </c>
      <c r="D161" s="26" t="s">
        <v>40</v>
      </c>
      <c r="E161" s="26" t="s">
        <v>29</v>
      </c>
      <c r="F161" s="26" t="s">
        <v>58</v>
      </c>
      <c r="G161" s="26" t="s">
        <v>33</v>
      </c>
      <c r="H161" s="26">
        <v>2</v>
      </c>
      <c r="I161" s="26">
        <f t="shared" si="6"/>
        <v>7.112816322745581</v>
      </c>
      <c r="J161" s="26">
        <v>1</v>
      </c>
      <c r="K161" s="26" t="s">
        <v>31</v>
      </c>
      <c r="L161" s="26" t="s">
        <v>31</v>
      </c>
      <c r="M161" s="26" t="s">
        <v>31</v>
      </c>
      <c r="N161" s="26"/>
    </row>
    <row r="162" spans="1:14">
      <c r="A162" s="32" t="s">
        <v>1651</v>
      </c>
      <c r="B162" s="34">
        <v>8280.0000000000018</v>
      </c>
      <c r="C162" s="26" t="s">
        <v>37</v>
      </c>
      <c r="D162" s="26" t="s">
        <v>40</v>
      </c>
      <c r="E162" s="26" t="s">
        <v>29</v>
      </c>
      <c r="F162" s="26" t="s">
        <v>58</v>
      </c>
      <c r="G162" s="26" t="s">
        <v>33</v>
      </c>
      <c r="H162" s="26">
        <v>2</v>
      </c>
      <c r="I162" s="26">
        <f t="shared" si="6"/>
        <v>9.0215982473793055</v>
      </c>
      <c r="J162" s="26">
        <v>1</v>
      </c>
      <c r="K162" s="26" t="s">
        <v>31</v>
      </c>
      <c r="L162" s="26" t="s">
        <v>31</v>
      </c>
      <c r="M162" s="26" t="s">
        <v>31</v>
      </c>
      <c r="N162" s="26"/>
    </row>
    <row r="163" spans="1:14">
      <c r="A163" s="32" t="s">
        <v>334</v>
      </c>
      <c r="B163" s="34">
        <v>4633.2000000000007</v>
      </c>
      <c r="C163" s="26" t="s">
        <v>37</v>
      </c>
      <c r="D163" s="26" t="s">
        <v>40</v>
      </c>
      <c r="E163" s="26" t="s">
        <v>29</v>
      </c>
      <c r="F163" s="26" t="s">
        <v>58</v>
      </c>
      <c r="G163" s="26" t="s">
        <v>33</v>
      </c>
      <c r="H163" s="26">
        <v>2</v>
      </c>
      <c r="I163" s="26">
        <f t="shared" si="6"/>
        <v>8.441003053058191</v>
      </c>
      <c r="J163" s="26">
        <v>1</v>
      </c>
      <c r="K163" s="26" t="s">
        <v>31</v>
      </c>
      <c r="L163" s="26" t="s">
        <v>31</v>
      </c>
      <c r="M163" s="26" t="s">
        <v>31</v>
      </c>
      <c r="N163" s="26"/>
    </row>
    <row r="164" spans="1:14">
      <c r="A164" s="32" t="s">
        <v>672</v>
      </c>
      <c r="B164" s="34">
        <v>18.000000000000004</v>
      </c>
      <c r="C164" s="26" t="s">
        <v>37</v>
      </c>
      <c r="D164" s="26" t="s">
        <v>40</v>
      </c>
      <c r="E164" s="26" t="s">
        <v>29</v>
      </c>
      <c r="F164" s="26" t="s">
        <v>58</v>
      </c>
      <c r="G164" s="26" t="s">
        <v>33</v>
      </c>
      <c r="H164" s="26">
        <v>2</v>
      </c>
      <c r="I164" s="26">
        <f t="shared" si="6"/>
        <v>2.890371757896165</v>
      </c>
      <c r="J164" s="26">
        <v>1</v>
      </c>
      <c r="K164" s="26" t="s">
        <v>31</v>
      </c>
      <c r="L164" s="26" t="s">
        <v>31</v>
      </c>
      <c r="M164" s="26" t="s">
        <v>31</v>
      </c>
      <c r="N164" s="26" t="s">
        <v>1652</v>
      </c>
    </row>
    <row r="165" spans="1:14" s="26" customFormat="1" ht="12.75">
      <c r="A165" s="32" t="s">
        <v>330</v>
      </c>
      <c r="B165" s="34">
        <v>126.00000000000001</v>
      </c>
      <c r="C165" s="26" t="s">
        <v>37</v>
      </c>
      <c r="D165" s="26" t="s">
        <v>40</v>
      </c>
      <c r="E165" s="26" t="s">
        <v>29</v>
      </c>
      <c r="F165" s="26" t="s">
        <v>128</v>
      </c>
      <c r="G165" s="26" t="s">
        <v>33</v>
      </c>
      <c r="H165" s="26">
        <v>2</v>
      </c>
      <c r="I165" s="26">
        <f t="shared" si="6"/>
        <v>4.836281906951478</v>
      </c>
      <c r="J165" s="26">
        <v>1</v>
      </c>
      <c r="K165" s="26" t="s">
        <v>31</v>
      </c>
      <c r="L165" s="26" t="s">
        <v>31</v>
      </c>
      <c r="M165" s="26" t="s">
        <v>31</v>
      </c>
    </row>
    <row r="166" spans="1:14" s="26" customFormat="1" ht="12.75">
      <c r="A166" s="26" t="s">
        <v>296</v>
      </c>
      <c r="B166" s="34">
        <v>1270.8</v>
      </c>
      <c r="C166" s="26" t="s">
        <v>37</v>
      </c>
      <c r="D166" s="26" t="s">
        <v>40</v>
      </c>
      <c r="E166" s="26" t="s">
        <v>29</v>
      </c>
      <c r="F166" s="26" t="s">
        <v>58</v>
      </c>
      <c r="G166" s="26" t="s">
        <v>33</v>
      </c>
      <c r="H166" s="26">
        <v>2</v>
      </c>
      <c r="I166" s="26">
        <f t="shared" si="6"/>
        <v>7.1474019023953614</v>
      </c>
      <c r="J166" s="26">
        <v>1</v>
      </c>
      <c r="K166" s="26" t="s">
        <v>31</v>
      </c>
      <c r="L166" s="26" t="s">
        <v>31</v>
      </c>
      <c r="M166" s="26" t="s">
        <v>31</v>
      </c>
    </row>
    <row r="167" spans="1:14" ht="15.75">
      <c r="A167" s="29" t="s">
        <v>5</v>
      </c>
      <c r="B167" s="29" t="s">
        <v>1633</v>
      </c>
      <c r="C167" s="30"/>
      <c r="D167" s="31"/>
      <c r="E167" s="31"/>
      <c r="F167" s="31"/>
      <c r="G167" s="31"/>
      <c r="H167" s="31"/>
      <c r="I167" s="31"/>
      <c r="J167" s="31"/>
      <c r="K167" s="31"/>
      <c r="L167" s="31"/>
      <c r="M167" s="31"/>
      <c r="N167" s="31"/>
    </row>
    <row r="168" spans="1:14">
      <c r="A168" s="26" t="s">
        <v>7</v>
      </c>
      <c r="B168" s="26" t="s">
        <v>1583</v>
      </c>
      <c r="C168" s="26"/>
      <c r="D168" s="26"/>
      <c r="E168" s="26"/>
      <c r="F168" s="26"/>
      <c r="G168" s="26"/>
      <c r="H168" s="26"/>
      <c r="I168" s="26"/>
      <c r="J168" s="26"/>
      <c r="K168" s="26"/>
      <c r="L168" s="26"/>
      <c r="M168" s="26"/>
      <c r="N168" s="26"/>
    </row>
    <row r="169" spans="1:14">
      <c r="A169" s="26" t="s">
        <v>9</v>
      </c>
      <c r="B169" s="26" t="s">
        <v>1653</v>
      </c>
      <c r="C169" s="26"/>
      <c r="D169" s="26"/>
      <c r="E169" s="26"/>
      <c r="F169" s="26"/>
      <c r="G169" s="26"/>
      <c r="H169" s="26"/>
      <c r="I169" s="26"/>
      <c r="J169" s="26"/>
      <c r="K169" s="26"/>
      <c r="L169" s="26"/>
      <c r="M169" s="26"/>
      <c r="N169" s="26"/>
    </row>
    <row r="170" spans="1:14" ht="38.25">
      <c r="A170" s="26" t="s">
        <v>11</v>
      </c>
      <c r="B170" s="37" t="s">
        <v>1654</v>
      </c>
      <c r="C170" s="26"/>
      <c r="D170" s="26"/>
      <c r="E170" s="26"/>
      <c r="F170" s="26"/>
      <c r="G170" s="26"/>
      <c r="H170" s="26"/>
      <c r="I170" s="26"/>
      <c r="J170" s="26"/>
      <c r="K170" s="26"/>
      <c r="L170" s="26"/>
      <c r="M170" s="26"/>
      <c r="N170" s="26"/>
    </row>
    <row r="171" spans="1:14">
      <c r="A171" s="26" t="s">
        <v>13</v>
      </c>
      <c r="B171" s="26" t="s">
        <v>14</v>
      </c>
      <c r="C171" s="26"/>
      <c r="D171" s="26"/>
      <c r="E171" s="26"/>
      <c r="F171" s="26"/>
      <c r="G171" s="26"/>
      <c r="H171" s="26"/>
      <c r="I171" s="26"/>
      <c r="J171" s="26"/>
      <c r="K171" s="26"/>
      <c r="L171" s="26"/>
      <c r="M171" s="26"/>
      <c r="N171" s="26"/>
    </row>
    <row r="172" spans="1:14">
      <c r="A172" s="26" t="s">
        <v>15</v>
      </c>
      <c r="B172" s="32">
        <v>1</v>
      </c>
      <c r="C172" s="26"/>
      <c r="D172" s="26"/>
      <c r="E172" s="26"/>
      <c r="F172" s="26"/>
      <c r="G172" s="26"/>
      <c r="H172" s="26"/>
      <c r="I172" s="26"/>
      <c r="J172" s="26"/>
      <c r="K172" s="26"/>
      <c r="L172" s="26"/>
      <c r="M172" s="26"/>
      <c r="N172" s="26"/>
    </row>
    <row r="173" spans="1:14">
      <c r="A173" s="26" t="s">
        <v>16</v>
      </c>
      <c r="B173" s="26" t="s">
        <v>17</v>
      </c>
      <c r="C173" s="26"/>
      <c r="D173" s="26"/>
      <c r="E173" s="26"/>
      <c r="F173" s="26"/>
      <c r="G173" s="26"/>
      <c r="H173" s="26"/>
      <c r="I173" s="26"/>
      <c r="J173" s="26"/>
      <c r="K173" s="26"/>
      <c r="L173" s="26"/>
      <c r="M173" s="26"/>
      <c r="N173" s="26"/>
    </row>
    <row r="174" spans="1:14">
      <c r="A174" s="26" t="s">
        <v>18</v>
      </c>
      <c r="B174" s="26" t="s">
        <v>18</v>
      </c>
      <c r="C174" s="26"/>
      <c r="D174" s="26"/>
      <c r="E174" s="26"/>
      <c r="F174" s="26"/>
      <c r="G174" s="26"/>
      <c r="H174" s="26"/>
      <c r="I174" s="26"/>
      <c r="J174" s="26"/>
      <c r="K174" s="26"/>
      <c r="L174" s="26"/>
      <c r="M174" s="26"/>
      <c r="N174" s="26"/>
    </row>
    <row r="175" spans="1:14" ht="15.75">
      <c r="A175" s="27" t="s">
        <v>19</v>
      </c>
    </row>
    <row r="176" spans="1:14" ht="15.75">
      <c r="A176" s="27" t="s">
        <v>20</v>
      </c>
      <c r="B176" s="27" t="s">
        <v>21</v>
      </c>
      <c r="C176" s="27" t="s">
        <v>18</v>
      </c>
      <c r="D176" s="27" t="s">
        <v>22</v>
      </c>
      <c r="E176" s="27" t="s">
        <v>7</v>
      </c>
      <c r="F176" s="27" t="s">
        <v>13</v>
      </c>
      <c r="G176" s="27" t="s">
        <v>16</v>
      </c>
      <c r="H176" s="27" t="s">
        <v>23</v>
      </c>
      <c r="I176" s="27" t="s">
        <v>24</v>
      </c>
      <c r="J176" s="27" t="s">
        <v>25</v>
      </c>
      <c r="K176" s="27" t="s">
        <v>26</v>
      </c>
      <c r="L176" s="27" t="s">
        <v>27</v>
      </c>
      <c r="M176" s="27" t="s">
        <v>28</v>
      </c>
      <c r="N176" s="27" t="s">
        <v>68</v>
      </c>
    </row>
    <row r="177" spans="1:14">
      <c r="A177" s="26" t="s">
        <v>1633</v>
      </c>
      <c r="B177" s="26">
        <f>B172</f>
        <v>1</v>
      </c>
      <c r="C177" s="26" t="str">
        <f>B174</f>
        <v>unit</v>
      </c>
      <c r="D177" s="26" t="s">
        <v>2</v>
      </c>
      <c r="E177" s="26" t="s">
        <v>29</v>
      </c>
      <c r="F177" s="26" t="str">
        <f>B171</f>
        <v>EUR</v>
      </c>
      <c r="G177" s="26" t="s">
        <v>30</v>
      </c>
      <c r="H177" s="26">
        <v>0</v>
      </c>
      <c r="I177" s="26">
        <f>B177</f>
        <v>1</v>
      </c>
      <c r="J177" s="26" t="s">
        <v>31</v>
      </c>
      <c r="K177" s="26" t="s">
        <v>31</v>
      </c>
      <c r="L177" s="26" t="s">
        <v>31</v>
      </c>
      <c r="M177" s="26" t="s">
        <v>31</v>
      </c>
      <c r="N177" s="26"/>
    </row>
    <row r="178" spans="1:14">
      <c r="A178" s="26" t="s">
        <v>688</v>
      </c>
      <c r="B178" s="26">
        <v>1234.8000000000002</v>
      </c>
      <c r="C178" s="26" t="s">
        <v>37</v>
      </c>
      <c r="D178" s="26" t="s">
        <v>40</v>
      </c>
      <c r="E178" s="26" t="s">
        <v>29</v>
      </c>
      <c r="F178" s="26" t="s">
        <v>58</v>
      </c>
      <c r="G178" s="26" t="s">
        <v>33</v>
      </c>
      <c r="H178" s="26">
        <v>2</v>
      </c>
      <c r="I178" s="26">
        <f t="shared" ref="I178:I194" si="7">LN(B178)</f>
        <v>7.1186642926280044</v>
      </c>
      <c r="J178" s="26">
        <v>1</v>
      </c>
      <c r="K178" s="26" t="s">
        <v>31</v>
      </c>
      <c r="L178" s="26" t="s">
        <v>31</v>
      </c>
      <c r="M178" s="26" t="s">
        <v>31</v>
      </c>
      <c r="N178" s="26"/>
    </row>
    <row r="179" spans="1:14">
      <c r="A179" s="32" t="s">
        <v>600</v>
      </c>
      <c r="B179" s="26">
        <v>1234.8000000000002</v>
      </c>
      <c r="C179" s="26" t="s">
        <v>37</v>
      </c>
      <c r="D179" s="26" t="s">
        <v>40</v>
      </c>
      <c r="E179" s="26" t="s">
        <v>29</v>
      </c>
      <c r="F179" s="26" t="s">
        <v>58</v>
      </c>
      <c r="G179" s="26" t="s">
        <v>33</v>
      </c>
      <c r="H179" s="26">
        <v>2</v>
      </c>
      <c r="I179" s="26">
        <f t="shared" si="7"/>
        <v>7.1186642926280044</v>
      </c>
      <c r="J179" s="26">
        <v>1</v>
      </c>
      <c r="K179" s="26" t="s">
        <v>31</v>
      </c>
      <c r="L179" s="26" t="s">
        <v>31</v>
      </c>
      <c r="M179" s="26" t="s">
        <v>31</v>
      </c>
      <c r="N179" s="26"/>
    </row>
    <row r="180" spans="1:14">
      <c r="A180" s="32" t="s">
        <v>682</v>
      </c>
      <c r="B180" s="26">
        <v>388.80000000000007</v>
      </c>
      <c r="C180" s="26" t="s">
        <v>37</v>
      </c>
      <c r="D180" s="26" t="s">
        <v>40</v>
      </c>
      <c r="E180" s="26" t="s">
        <v>29</v>
      </c>
      <c r="F180" s="26" t="s">
        <v>58</v>
      </c>
      <c r="G180" s="26" t="s">
        <v>33</v>
      </c>
      <c r="H180" s="26">
        <v>2</v>
      </c>
      <c r="I180" s="26">
        <f t="shared" si="7"/>
        <v>5.9630650725862839</v>
      </c>
      <c r="J180" s="26">
        <v>1</v>
      </c>
      <c r="K180" s="26" t="s">
        <v>31</v>
      </c>
      <c r="L180" s="26" t="s">
        <v>31</v>
      </c>
      <c r="M180" s="26" t="s">
        <v>31</v>
      </c>
      <c r="N180" s="26"/>
    </row>
    <row r="181" spans="1:14">
      <c r="A181" s="32" t="s">
        <v>600</v>
      </c>
      <c r="B181" s="26">
        <v>388.80000000000007</v>
      </c>
      <c r="C181" s="26" t="s">
        <v>37</v>
      </c>
      <c r="D181" s="26" t="s">
        <v>40</v>
      </c>
      <c r="E181" s="26" t="s">
        <v>29</v>
      </c>
      <c r="F181" s="26" t="s">
        <v>58</v>
      </c>
      <c r="G181" s="26" t="s">
        <v>33</v>
      </c>
      <c r="H181" s="26">
        <v>2</v>
      </c>
      <c r="I181" s="26">
        <f t="shared" si="7"/>
        <v>5.9630650725862839</v>
      </c>
      <c r="J181" s="26">
        <v>1</v>
      </c>
      <c r="K181" s="26" t="s">
        <v>31</v>
      </c>
      <c r="L181" s="26" t="s">
        <v>31</v>
      </c>
      <c r="M181" s="26" t="s">
        <v>31</v>
      </c>
      <c r="N181" s="26"/>
    </row>
    <row r="182" spans="1:14">
      <c r="A182" s="32" t="s">
        <v>682</v>
      </c>
      <c r="B182" s="26">
        <v>78645.600000000006</v>
      </c>
      <c r="C182" s="26" t="s">
        <v>37</v>
      </c>
      <c r="D182" s="26" t="s">
        <v>40</v>
      </c>
      <c r="E182" s="26" t="s">
        <v>29</v>
      </c>
      <c r="F182" s="26" t="s">
        <v>58</v>
      </c>
      <c r="G182" s="26" t="s">
        <v>33</v>
      </c>
      <c r="H182" s="26">
        <v>2</v>
      </c>
      <c r="I182" s="26">
        <f t="shared" si="7"/>
        <v>11.272706962865552</v>
      </c>
      <c r="J182" s="26">
        <v>1</v>
      </c>
      <c r="K182" s="26" t="s">
        <v>31</v>
      </c>
      <c r="L182" s="26" t="s">
        <v>31</v>
      </c>
      <c r="M182" s="26" t="s">
        <v>31</v>
      </c>
      <c r="N182" s="26"/>
    </row>
    <row r="183" spans="1:14">
      <c r="A183" s="26" t="s">
        <v>238</v>
      </c>
      <c r="B183" s="26">
        <v>4770.0000000000009</v>
      </c>
      <c r="C183" s="26" t="s">
        <v>37</v>
      </c>
      <c r="D183" s="26" t="s">
        <v>40</v>
      </c>
      <c r="E183" s="26" t="s">
        <v>29</v>
      </c>
      <c r="F183" s="26" t="s">
        <v>58</v>
      </c>
      <c r="G183" s="26" t="s">
        <v>33</v>
      </c>
      <c r="H183" s="26">
        <v>2</v>
      </c>
      <c r="I183" s="26">
        <f t="shared" si="7"/>
        <v>8.4701015838823874</v>
      </c>
      <c r="J183" s="26">
        <v>1</v>
      </c>
      <c r="K183" s="26" t="s">
        <v>31</v>
      </c>
      <c r="L183" s="26" t="s">
        <v>31</v>
      </c>
      <c r="M183" s="26" t="s">
        <v>31</v>
      </c>
      <c r="N183" s="26"/>
    </row>
    <row r="184" spans="1:14">
      <c r="A184" s="26" t="s">
        <v>342</v>
      </c>
      <c r="B184" s="26">
        <v>248.40000000000003</v>
      </c>
      <c r="C184" s="26" t="s">
        <v>37</v>
      </c>
      <c r="D184" s="26" t="s">
        <v>40</v>
      </c>
      <c r="E184" s="26" t="s">
        <v>29</v>
      </c>
      <c r="F184" s="26" t="s">
        <v>58</v>
      </c>
      <c r="G184" s="26" t="s">
        <v>33</v>
      </c>
      <c r="H184" s="26">
        <v>2</v>
      </c>
      <c r="I184" s="26">
        <f t="shared" si="7"/>
        <v>5.5150403500593237</v>
      </c>
      <c r="J184" s="26">
        <v>1</v>
      </c>
      <c r="K184" s="26" t="s">
        <v>31</v>
      </c>
      <c r="L184" s="26" t="s">
        <v>31</v>
      </c>
      <c r="M184" s="26" t="s">
        <v>31</v>
      </c>
      <c r="N184" s="26"/>
    </row>
    <row r="185" spans="1:14">
      <c r="A185" s="32" t="s">
        <v>1638</v>
      </c>
      <c r="B185" s="26">
        <v>129.60000000000002</v>
      </c>
      <c r="C185" s="26" t="s">
        <v>37</v>
      </c>
      <c r="D185" s="26" t="s">
        <v>40</v>
      </c>
      <c r="E185" s="26" t="s">
        <v>29</v>
      </c>
      <c r="F185" s="26" t="s">
        <v>58</v>
      </c>
      <c r="G185" s="26" t="s">
        <v>33</v>
      </c>
      <c r="H185" s="26">
        <v>2</v>
      </c>
      <c r="I185" s="26">
        <f t="shared" si="7"/>
        <v>4.8644527839181748</v>
      </c>
      <c r="J185" s="26">
        <v>1</v>
      </c>
      <c r="K185" s="26" t="s">
        <v>31</v>
      </c>
      <c r="L185" s="26" t="s">
        <v>31</v>
      </c>
      <c r="M185" s="26" t="s">
        <v>31</v>
      </c>
      <c r="N185" s="26"/>
    </row>
    <row r="186" spans="1:14">
      <c r="A186" s="26" t="s">
        <v>1655</v>
      </c>
      <c r="B186" s="26">
        <v>7.2</v>
      </c>
      <c r="C186" s="26" t="s">
        <v>37</v>
      </c>
      <c r="D186" s="26" t="s">
        <v>40</v>
      </c>
      <c r="E186" s="26" t="s">
        <v>29</v>
      </c>
      <c r="F186" s="26" t="s">
        <v>1656</v>
      </c>
      <c r="G186" s="26" t="s">
        <v>33</v>
      </c>
      <c r="H186" s="26">
        <v>2</v>
      </c>
      <c r="I186" s="26">
        <f t="shared" si="7"/>
        <v>1.9740810260220096</v>
      </c>
      <c r="J186" s="26">
        <v>1</v>
      </c>
      <c r="K186" s="26" t="s">
        <v>31</v>
      </c>
      <c r="L186" s="26" t="s">
        <v>31</v>
      </c>
      <c r="M186" s="26" t="s">
        <v>31</v>
      </c>
      <c r="N186" s="26"/>
    </row>
    <row r="187" spans="1:14">
      <c r="A187" s="26" t="s">
        <v>1642</v>
      </c>
      <c r="B187" s="26">
        <v>144.00000000000003</v>
      </c>
      <c r="C187" s="26" t="s">
        <v>37</v>
      </c>
      <c r="D187" s="26" t="s">
        <v>40</v>
      </c>
      <c r="E187" s="26" t="s">
        <v>29</v>
      </c>
      <c r="F187" s="26" t="s">
        <v>58</v>
      </c>
      <c r="G187" s="26" t="s">
        <v>33</v>
      </c>
      <c r="H187" s="26">
        <v>2</v>
      </c>
      <c r="I187" s="26">
        <f t="shared" si="7"/>
        <v>4.9698132995760007</v>
      </c>
      <c r="J187" s="26">
        <v>1</v>
      </c>
      <c r="K187" s="26" t="s">
        <v>31</v>
      </c>
      <c r="L187" s="26" t="s">
        <v>31</v>
      </c>
      <c r="M187" s="26" t="s">
        <v>31</v>
      </c>
      <c r="N187" s="26"/>
    </row>
    <row r="188" spans="1:14">
      <c r="A188" s="32" t="s">
        <v>348</v>
      </c>
      <c r="B188" s="26">
        <v>36.000000000000007</v>
      </c>
      <c r="C188" s="26" t="s">
        <v>37</v>
      </c>
      <c r="D188" s="26" t="s">
        <v>40</v>
      </c>
      <c r="E188" s="26" t="s">
        <v>29</v>
      </c>
      <c r="F188" s="26" t="s">
        <v>58</v>
      </c>
      <c r="G188" s="26" t="s">
        <v>33</v>
      </c>
      <c r="H188" s="26">
        <v>2</v>
      </c>
      <c r="I188" s="26">
        <f t="shared" si="7"/>
        <v>3.5835189384561104</v>
      </c>
      <c r="J188" s="26">
        <v>1</v>
      </c>
      <c r="K188" s="26" t="s">
        <v>31</v>
      </c>
      <c r="L188" s="26" t="s">
        <v>31</v>
      </c>
      <c r="M188" s="26" t="s">
        <v>31</v>
      </c>
      <c r="N188" s="26"/>
    </row>
    <row r="189" spans="1:14">
      <c r="A189" s="26" t="s">
        <v>1624</v>
      </c>
      <c r="B189" s="26">
        <v>864.00000000000011</v>
      </c>
      <c r="C189" s="26" t="s">
        <v>37</v>
      </c>
      <c r="D189" s="26" t="s">
        <v>40</v>
      </c>
      <c r="E189" s="26" t="s">
        <v>29</v>
      </c>
      <c r="F189" s="26" t="s">
        <v>58</v>
      </c>
      <c r="G189" s="26" t="s">
        <v>33</v>
      </c>
      <c r="H189" s="26">
        <v>2</v>
      </c>
      <c r="I189" s="26">
        <f t="shared" si="7"/>
        <v>6.7615727688040561</v>
      </c>
      <c r="J189" s="26">
        <v>1</v>
      </c>
      <c r="K189" s="26" t="s">
        <v>31</v>
      </c>
      <c r="L189" s="26" t="s">
        <v>31</v>
      </c>
      <c r="M189" s="26" t="s">
        <v>31</v>
      </c>
      <c r="N189" s="26"/>
    </row>
    <row r="190" spans="1:14">
      <c r="A190" s="26" t="s">
        <v>610</v>
      </c>
      <c r="B190" s="26">
        <v>11286.000000000002</v>
      </c>
      <c r="C190" s="26" t="s">
        <v>37</v>
      </c>
      <c r="D190" s="26" t="s">
        <v>40</v>
      </c>
      <c r="E190" s="26" t="s">
        <v>29</v>
      </c>
      <c r="F190" s="26" t="s">
        <v>58</v>
      </c>
      <c r="G190" s="26" t="s">
        <v>33</v>
      </c>
      <c r="H190" s="26">
        <v>2</v>
      </c>
      <c r="I190" s="26">
        <f t="shared" si="7"/>
        <v>9.3313182985290855</v>
      </c>
      <c r="J190" s="26">
        <v>1</v>
      </c>
      <c r="K190" s="26" t="s">
        <v>31</v>
      </c>
      <c r="L190" s="26" t="s">
        <v>31</v>
      </c>
      <c r="M190" s="26" t="s">
        <v>31</v>
      </c>
      <c r="N190" s="26"/>
    </row>
    <row r="191" spans="1:14">
      <c r="A191" s="26" t="s">
        <v>1657</v>
      </c>
      <c r="B191" s="26">
        <v>11286.000000000002</v>
      </c>
      <c r="C191" s="26" t="s">
        <v>37</v>
      </c>
      <c r="D191" s="26" t="s">
        <v>40</v>
      </c>
      <c r="E191" s="26" t="s">
        <v>29</v>
      </c>
      <c r="F191" s="26" t="s">
        <v>58</v>
      </c>
      <c r="G191" s="26" t="s">
        <v>33</v>
      </c>
      <c r="H191" s="26">
        <v>2</v>
      </c>
      <c r="I191" s="26">
        <f t="shared" si="7"/>
        <v>9.3313182985290855</v>
      </c>
      <c r="J191" s="26">
        <v>1</v>
      </c>
      <c r="K191" s="26" t="s">
        <v>31</v>
      </c>
      <c r="L191" s="26" t="s">
        <v>31</v>
      </c>
      <c r="M191" s="26" t="s">
        <v>31</v>
      </c>
      <c r="N191" s="26" t="s">
        <v>1658</v>
      </c>
    </row>
    <row r="192" spans="1:14">
      <c r="A192" s="26" t="s">
        <v>1651</v>
      </c>
      <c r="B192" s="26">
        <v>11088.000000000002</v>
      </c>
      <c r="C192" s="26" t="s">
        <v>37</v>
      </c>
      <c r="D192" s="26" t="s">
        <v>40</v>
      </c>
      <c r="E192" s="26" t="s">
        <v>29</v>
      </c>
      <c r="F192" s="26" t="s">
        <v>58</v>
      </c>
      <c r="G192" s="26" t="s">
        <v>33</v>
      </c>
      <c r="H192" s="26">
        <v>2</v>
      </c>
      <c r="I192" s="26">
        <f t="shared" si="7"/>
        <v>9.3136187214296839</v>
      </c>
      <c r="J192" s="26">
        <v>1</v>
      </c>
      <c r="K192" s="26" t="s">
        <v>31</v>
      </c>
      <c r="L192" s="26" t="s">
        <v>31</v>
      </c>
      <c r="M192" s="26" t="s">
        <v>31</v>
      </c>
      <c r="N192" s="26"/>
    </row>
    <row r="193" spans="1:14">
      <c r="A193" s="32" t="s">
        <v>334</v>
      </c>
      <c r="B193" s="26">
        <v>410.4</v>
      </c>
      <c r="C193" s="26" t="s">
        <v>37</v>
      </c>
      <c r="D193" s="26" t="s">
        <v>40</v>
      </c>
      <c r="E193" s="26" t="s">
        <v>29</v>
      </c>
      <c r="F193" s="26" t="s">
        <v>58</v>
      </c>
      <c r="G193" s="26" t="s">
        <v>33</v>
      </c>
      <c r="H193" s="26">
        <v>2</v>
      </c>
      <c r="I193" s="26">
        <f t="shared" si="7"/>
        <v>6.0171322938565597</v>
      </c>
      <c r="J193" s="26">
        <v>1</v>
      </c>
      <c r="K193" s="26" t="s">
        <v>31</v>
      </c>
      <c r="L193" s="26" t="s">
        <v>31</v>
      </c>
      <c r="M193" s="26" t="s">
        <v>31</v>
      </c>
      <c r="N193" s="26"/>
    </row>
    <row r="194" spans="1:14">
      <c r="A194" s="32" t="s">
        <v>672</v>
      </c>
      <c r="B194" s="34">
        <v>7.2</v>
      </c>
      <c r="C194" s="26" t="s">
        <v>37</v>
      </c>
      <c r="D194" s="26" t="s">
        <v>40</v>
      </c>
      <c r="E194" s="26" t="s">
        <v>29</v>
      </c>
      <c r="F194" s="26" t="s">
        <v>58</v>
      </c>
      <c r="G194" s="26" t="s">
        <v>33</v>
      </c>
      <c r="H194" s="26">
        <v>2</v>
      </c>
      <c r="I194" s="26">
        <f t="shared" si="7"/>
        <v>1.9740810260220096</v>
      </c>
      <c r="J194" s="26">
        <v>1</v>
      </c>
      <c r="K194" s="26" t="s">
        <v>31</v>
      </c>
      <c r="L194" s="26" t="s">
        <v>31</v>
      </c>
      <c r="M194" s="26" t="s">
        <v>31</v>
      </c>
      <c r="N194" s="32" t="s">
        <v>1659</v>
      </c>
    </row>
    <row r="195" spans="1:14" ht="15.75">
      <c r="A195" s="29" t="s">
        <v>5</v>
      </c>
      <c r="B195" s="29" t="s">
        <v>1634</v>
      </c>
      <c r="C195" s="30"/>
      <c r="D195" s="31"/>
      <c r="E195" s="31"/>
      <c r="F195" s="31"/>
      <c r="G195" s="31"/>
      <c r="H195" s="31"/>
      <c r="I195" s="31"/>
      <c r="J195" s="31"/>
      <c r="K195" s="31"/>
      <c r="L195" s="31"/>
      <c r="M195" s="31"/>
      <c r="N195" s="31"/>
    </row>
    <row r="196" spans="1:14">
      <c r="A196" s="26" t="s">
        <v>7</v>
      </c>
      <c r="B196" s="26" t="s">
        <v>1583</v>
      </c>
      <c r="C196" s="26"/>
      <c r="D196" s="26"/>
      <c r="E196" s="26"/>
      <c r="F196" s="26"/>
      <c r="G196" s="26"/>
      <c r="H196" s="26"/>
      <c r="I196" s="26"/>
      <c r="J196" s="26"/>
      <c r="K196" s="26"/>
      <c r="L196" s="26"/>
      <c r="M196" s="26"/>
      <c r="N196" s="26"/>
    </row>
    <row r="197" spans="1:14">
      <c r="A197" s="26" t="s">
        <v>9</v>
      </c>
      <c r="B197" s="26" t="s">
        <v>1660</v>
      </c>
      <c r="C197" s="26"/>
      <c r="D197" s="26"/>
      <c r="E197" s="26"/>
      <c r="F197" s="26"/>
      <c r="G197" s="26"/>
      <c r="H197" s="26"/>
      <c r="I197" s="26"/>
      <c r="J197" s="26"/>
      <c r="K197" s="26"/>
      <c r="L197" s="26"/>
      <c r="M197" s="26"/>
      <c r="N197" s="26"/>
    </row>
    <row r="198" spans="1:14" ht="38.25">
      <c r="A198" s="26" t="s">
        <v>11</v>
      </c>
      <c r="B198" s="37" t="s">
        <v>1661</v>
      </c>
      <c r="C198" s="26"/>
      <c r="D198" s="26"/>
      <c r="E198" s="26"/>
      <c r="F198" s="26"/>
      <c r="G198" s="26"/>
      <c r="H198" s="26"/>
      <c r="I198" s="26"/>
      <c r="J198" s="26"/>
      <c r="K198" s="26"/>
      <c r="L198" s="26"/>
      <c r="M198" s="26"/>
      <c r="N198" s="26"/>
    </row>
    <row r="199" spans="1:14">
      <c r="A199" s="26" t="s">
        <v>13</v>
      </c>
      <c r="B199" s="26" t="s">
        <v>14</v>
      </c>
      <c r="C199" s="26"/>
      <c r="D199" s="26"/>
      <c r="E199" s="26"/>
      <c r="F199" s="26"/>
      <c r="G199" s="26"/>
      <c r="H199" s="26"/>
      <c r="I199" s="26"/>
      <c r="J199" s="26"/>
      <c r="K199" s="26"/>
      <c r="L199" s="26"/>
      <c r="M199" s="26"/>
      <c r="N199" s="26"/>
    </row>
    <row r="200" spans="1:14">
      <c r="A200" s="26" t="s">
        <v>15</v>
      </c>
      <c r="B200" s="32">
        <v>1</v>
      </c>
      <c r="C200" s="26"/>
      <c r="D200" s="26"/>
      <c r="E200" s="26"/>
      <c r="F200" s="26"/>
      <c r="G200" s="26"/>
      <c r="H200" s="26"/>
      <c r="I200" s="26"/>
      <c r="J200" s="26"/>
      <c r="K200" s="26"/>
      <c r="L200" s="26"/>
      <c r="M200" s="26"/>
      <c r="N200" s="26"/>
    </row>
    <row r="201" spans="1:14">
      <c r="A201" s="26" t="s">
        <v>16</v>
      </c>
      <c r="B201" s="26" t="s">
        <v>17</v>
      </c>
      <c r="C201" s="26"/>
      <c r="D201" s="26"/>
      <c r="E201" s="26"/>
      <c r="F201" s="26"/>
      <c r="G201" s="26"/>
      <c r="H201" s="26"/>
      <c r="I201" s="26"/>
      <c r="J201" s="26"/>
      <c r="K201" s="26"/>
      <c r="L201" s="26"/>
      <c r="M201" s="26"/>
      <c r="N201" s="26"/>
    </row>
    <row r="202" spans="1:14">
      <c r="A202" s="26" t="s">
        <v>18</v>
      </c>
      <c r="B202" s="26" t="s">
        <v>18</v>
      </c>
      <c r="C202" s="26"/>
      <c r="D202" s="26"/>
      <c r="E202" s="26"/>
      <c r="F202" s="26"/>
      <c r="G202" s="26"/>
      <c r="H202" s="26"/>
      <c r="I202" s="26"/>
      <c r="J202" s="26"/>
      <c r="K202" s="26"/>
      <c r="L202" s="26"/>
      <c r="M202" s="26"/>
      <c r="N202" s="26"/>
    </row>
    <row r="203" spans="1:14" ht="15.75">
      <c r="A203" s="27" t="s">
        <v>19</v>
      </c>
    </row>
    <row r="204" spans="1:14" ht="15.75">
      <c r="A204" s="27" t="s">
        <v>20</v>
      </c>
      <c r="B204" s="27" t="s">
        <v>21</v>
      </c>
      <c r="C204" s="27" t="s">
        <v>18</v>
      </c>
      <c r="D204" s="27" t="s">
        <v>22</v>
      </c>
      <c r="E204" s="27" t="s">
        <v>7</v>
      </c>
      <c r="F204" s="27" t="s">
        <v>13</v>
      </c>
      <c r="G204" s="27" t="s">
        <v>16</v>
      </c>
      <c r="H204" s="27" t="s">
        <v>23</v>
      </c>
      <c r="I204" s="27" t="s">
        <v>24</v>
      </c>
      <c r="J204" s="27" t="s">
        <v>25</v>
      </c>
      <c r="K204" s="27" t="s">
        <v>26</v>
      </c>
      <c r="L204" s="27" t="s">
        <v>27</v>
      </c>
      <c r="M204" s="27" t="s">
        <v>28</v>
      </c>
      <c r="N204" s="27" t="s">
        <v>68</v>
      </c>
    </row>
    <row r="205" spans="1:14">
      <c r="A205" s="26" t="s">
        <v>1634</v>
      </c>
      <c r="B205" s="26">
        <f>B200</f>
        <v>1</v>
      </c>
      <c r="C205" s="26" t="str">
        <f>B202</f>
        <v>unit</v>
      </c>
      <c r="D205" s="26" t="s">
        <v>2</v>
      </c>
      <c r="E205" s="26" t="s">
        <v>29</v>
      </c>
      <c r="F205" s="26" t="str">
        <f>B199</f>
        <v>EUR</v>
      </c>
      <c r="G205" s="26" t="s">
        <v>30</v>
      </c>
      <c r="H205" s="26">
        <v>0</v>
      </c>
      <c r="I205" s="26">
        <f>B205</f>
        <v>1</v>
      </c>
      <c r="J205" s="26" t="s">
        <v>31</v>
      </c>
      <c r="K205" s="26" t="s">
        <v>31</v>
      </c>
      <c r="L205" s="26" t="s">
        <v>31</v>
      </c>
      <c r="M205" s="26" t="s">
        <v>31</v>
      </c>
      <c r="N205" s="26"/>
    </row>
    <row r="206" spans="1:14" s="26" customFormat="1" ht="12.75">
      <c r="A206" s="32" t="s">
        <v>688</v>
      </c>
      <c r="B206" s="26">
        <v>24480</v>
      </c>
      <c r="C206" s="26" t="s">
        <v>37</v>
      </c>
      <c r="D206" s="26" t="s">
        <v>40</v>
      </c>
      <c r="E206" s="26" t="s">
        <v>29</v>
      </c>
      <c r="F206" s="26" t="s">
        <v>58</v>
      </c>
      <c r="G206" s="26" t="s">
        <v>33</v>
      </c>
      <c r="H206" s="26">
        <v>2</v>
      </c>
      <c r="I206" s="26">
        <f t="shared" ref="I206:I217" si="8">LN(B206)</f>
        <v>10.105611736626262</v>
      </c>
      <c r="J206" s="26">
        <v>1</v>
      </c>
      <c r="K206" s="26" t="s">
        <v>31</v>
      </c>
      <c r="L206" s="26" t="s">
        <v>31</v>
      </c>
      <c r="M206" s="26" t="s">
        <v>31</v>
      </c>
    </row>
    <row r="207" spans="1:14" s="26" customFormat="1" ht="12.75">
      <c r="A207" s="26" t="s">
        <v>682</v>
      </c>
      <c r="B207" s="26">
        <v>543.6</v>
      </c>
      <c r="C207" s="26" t="s">
        <v>37</v>
      </c>
      <c r="D207" s="26" t="s">
        <v>40</v>
      </c>
      <c r="E207" s="26" t="s">
        <v>29</v>
      </c>
      <c r="F207" s="26" t="s">
        <v>58</v>
      </c>
      <c r="G207" s="26" t="s">
        <v>33</v>
      </c>
      <c r="H207" s="26">
        <v>2</v>
      </c>
      <c r="I207" s="26">
        <f t="shared" si="8"/>
        <v>6.2982136822769883</v>
      </c>
      <c r="J207" s="26">
        <v>1</v>
      </c>
      <c r="K207" s="26" t="s">
        <v>31</v>
      </c>
      <c r="L207" s="26" t="s">
        <v>31</v>
      </c>
      <c r="M207" s="26" t="s">
        <v>31</v>
      </c>
    </row>
    <row r="208" spans="1:14" s="26" customFormat="1" ht="12.75">
      <c r="A208" s="32" t="s">
        <v>600</v>
      </c>
      <c r="B208" s="34">
        <v>543.6</v>
      </c>
      <c r="C208" s="26" t="s">
        <v>37</v>
      </c>
      <c r="D208" s="26" t="s">
        <v>40</v>
      </c>
      <c r="E208" s="26" t="s">
        <v>29</v>
      </c>
      <c r="F208" s="26" t="s">
        <v>58</v>
      </c>
      <c r="G208" s="26" t="s">
        <v>33</v>
      </c>
      <c r="H208" s="26">
        <v>2</v>
      </c>
      <c r="I208" s="26">
        <f t="shared" si="8"/>
        <v>6.2982136822769883</v>
      </c>
      <c r="J208" s="26">
        <v>1</v>
      </c>
      <c r="K208" s="26" t="s">
        <v>31</v>
      </c>
      <c r="L208" s="26" t="s">
        <v>31</v>
      </c>
      <c r="M208" s="26" t="s">
        <v>31</v>
      </c>
    </row>
    <row r="209" spans="1:14" s="26" customFormat="1" ht="12.75">
      <c r="A209" s="32" t="s">
        <v>682</v>
      </c>
      <c r="B209" s="34">
        <v>8085.6000000000013</v>
      </c>
      <c r="C209" s="26" t="s">
        <v>37</v>
      </c>
      <c r="D209" s="26" t="s">
        <v>40</v>
      </c>
      <c r="E209" s="26" t="s">
        <v>29</v>
      </c>
      <c r="F209" s="26" t="s">
        <v>58</v>
      </c>
      <c r="G209" s="26" t="s">
        <v>33</v>
      </c>
      <c r="H209" s="26">
        <v>2</v>
      </c>
      <c r="I209" s="26">
        <f t="shared" si="8"/>
        <v>8.9978399807604532</v>
      </c>
      <c r="J209" s="26">
        <v>1</v>
      </c>
      <c r="K209" s="26" t="s">
        <v>31</v>
      </c>
      <c r="L209" s="26" t="s">
        <v>31</v>
      </c>
      <c r="M209" s="26" t="s">
        <v>31</v>
      </c>
    </row>
    <row r="210" spans="1:14" s="26" customFormat="1" ht="12.75">
      <c r="A210" s="26" t="s">
        <v>238</v>
      </c>
      <c r="B210" s="34">
        <v>21.599999999999998</v>
      </c>
      <c r="C210" s="26" t="s">
        <v>37</v>
      </c>
      <c r="D210" s="26" t="s">
        <v>40</v>
      </c>
      <c r="E210" s="26" t="s">
        <v>29</v>
      </c>
      <c r="F210" s="26" t="s">
        <v>58</v>
      </c>
      <c r="G210" s="26" t="s">
        <v>33</v>
      </c>
      <c r="H210" s="26">
        <v>2</v>
      </c>
      <c r="I210" s="26">
        <f t="shared" si="8"/>
        <v>3.0726933146901194</v>
      </c>
      <c r="J210" s="26">
        <v>1</v>
      </c>
      <c r="K210" s="26" t="s">
        <v>31</v>
      </c>
      <c r="L210" s="26" t="s">
        <v>31</v>
      </c>
      <c r="M210" s="26" t="s">
        <v>31</v>
      </c>
    </row>
    <row r="211" spans="1:14" s="26" customFormat="1" ht="12.75">
      <c r="A211" s="26" t="s">
        <v>342</v>
      </c>
      <c r="B211" s="34">
        <v>3.6</v>
      </c>
      <c r="C211" s="26" t="s">
        <v>37</v>
      </c>
      <c r="D211" s="26" t="s">
        <v>40</v>
      </c>
      <c r="E211" s="26" t="s">
        <v>29</v>
      </c>
      <c r="F211" s="26" t="s">
        <v>58</v>
      </c>
      <c r="G211" s="26" t="s">
        <v>33</v>
      </c>
      <c r="H211" s="26">
        <v>2</v>
      </c>
      <c r="I211" s="26">
        <f t="shared" si="8"/>
        <v>1.2809338454620642</v>
      </c>
      <c r="J211" s="26">
        <v>1</v>
      </c>
      <c r="K211" s="26" t="s">
        <v>31</v>
      </c>
      <c r="L211" s="26" t="s">
        <v>31</v>
      </c>
      <c r="M211" s="26" t="s">
        <v>31</v>
      </c>
    </row>
    <row r="212" spans="1:14" s="26" customFormat="1" ht="12.75">
      <c r="A212" s="32" t="s">
        <v>1638</v>
      </c>
      <c r="B212" s="34">
        <v>36.000000000000007</v>
      </c>
      <c r="C212" s="26" t="s">
        <v>37</v>
      </c>
      <c r="D212" s="26" t="s">
        <v>40</v>
      </c>
      <c r="E212" s="26" t="s">
        <v>29</v>
      </c>
      <c r="F212" s="26" t="s">
        <v>58</v>
      </c>
      <c r="G212" s="26" t="s">
        <v>33</v>
      </c>
      <c r="H212" s="26">
        <v>2</v>
      </c>
      <c r="I212" s="26">
        <f t="shared" si="8"/>
        <v>3.5835189384561104</v>
      </c>
      <c r="J212" s="26">
        <v>1</v>
      </c>
      <c r="K212" s="26" t="s">
        <v>31</v>
      </c>
      <c r="L212" s="26" t="s">
        <v>31</v>
      </c>
      <c r="M212" s="26" t="s">
        <v>31</v>
      </c>
    </row>
    <row r="213" spans="1:14" s="26" customFormat="1" ht="12.75">
      <c r="A213" s="26" t="s">
        <v>1642</v>
      </c>
      <c r="B213" s="34">
        <v>3.6</v>
      </c>
      <c r="C213" s="26" t="s">
        <v>37</v>
      </c>
      <c r="D213" s="26" t="s">
        <v>40</v>
      </c>
      <c r="E213" s="26" t="s">
        <v>29</v>
      </c>
      <c r="F213" s="26" t="s">
        <v>58</v>
      </c>
      <c r="G213" s="26" t="s">
        <v>33</v>
      </c>
      <c r="H213" s="26">
        <v>2</v>
      </c>
      <c r="I213" s="26">
        <f t="shared" si="8"/>
        <v>1.2809338454620642</v>
      </c>
      <c r="J213" s="26">
        <v>1</v>
      </c>
      <c r="K213" s="26" t="s">
        <v>31</v>
      </c>
      <c r="L213" s="26" t="s">
        <v>31</v>
      </c>
      <c r="M213" s="26" t="s">
        <v>31</v>
      </c>
    </row>
    <row r="214" spans="1:14" s="26" customFormat="1" ht="12.75">
      <c r="A214" s="26" t="s">
        <v>1624</v>
      </c>
      <c r="B214" s="34">
        <v>784.80000000000018</v>
      </c>
      <c r="C214" s="26" t="s">
        <v>37</v>
      </c>
      <c r="D214" s="26" t="s">
        <v>40</v>
      </c>
      <c r="E214" s="26" t="s">
        <v>29</v>
      </c>
      <c r="F214" s="26" t="s">
        <v>58</v>
      </c>
      <c r="G214" s="26" t="s">
        <v>33</v>
      </c>
      <c r="H214" s="26">
        <v>2</v>
      </c>
      <c r="I214" s="26">
        <f t="shared" si="8"/>
        <v>6.6654289082511538</v>
      </c>
      <c r="J214" s="26">
        <v>1</v>
      </c>
      <c r="K214" s="26" t="s">
        <v>31</v>
      </c>
      <c r="L214" s="26" t="s">
        <v>31</v>
      </c>
      <c r="M214" s="26" t="s">
        <v>31</v>
      </c>
    </row>
    <row r="215" spans="1:14" s="26" customFormat="1" ht="12.75">
      <c r="A215" s="26" t="s">
        <v>610</v>
      </c>
      <c r="B215" s="34">
        <v>784.80000000000018</v>
      </c>
      <c r="C215" s="26" t="s">
        <v>37</v>
      </c>
      <c r="D215" s="26" t="s">
        <v>40</v>
      </c>
      <c r="E215" s="26" t="s">
        <v>29</v>
      </c>
      <c r="F215" s="26" t="s">
        <v>58</v>
      </c>
      <c r="G215" s="26" t="s">
        <v>33</v>
      </c>
      <c r="H215" s="26">
        <v>2</v>
      </c>
      <c r="I215" s="26">
        <f t="shared" si="8"/>
        <v>6.6654289082511538</v>
      </c>
      <c r="J215" s="26">
        <v>1</v>
      </c>
      <c r="K215" s="26" t="s">
        <v>31</v>
      </c>
      <c r="L215" s="26" t="s">
        <v>31</v>
      </c>
      <c r="M215" s="26" t="s">
        <v>31</v>
      </c>
    </row>
    <row r="216" spans="1:14" s="26" customFormat="1" ht="12.75">
      <c r="A216" s="26" t="s">
        <v>1662</v>
      </c>
      <c r="B216" s="26">
        <v>18.000000000000004</v>
      </c>
      <c r="C216" s="26" t="s">
        <v>37</v>
      </c>
      <c r="D216" s="26" t="s">
        <v>40</v>
      </c>
      <c r="E216" s="26" t="s">
        <v>29</v>
      </c>
      <c r="F216" s="26" t="s">
        <v>58</v>
      </c>
      <c r="G216" s="26" t="s">
        <v>33</v>
      </c>
      <c r="H216" s="26">
        <v>2</v>
      </c>
      <c r="I216" s="26">
        <f t="shared" si="8"/>
        <v>2.890371757896165</v>
      </c>
      <c r="J216" s="26">
        <v>1</v>
      </c>
      <c r="K216" s="26" t="s">
        <v>31</v>
      </c>
      <c r="L216" s="26" t="s">
        <v>31</v>
      </c>
      <c r="M216" s="26" t="s">
        <v>31</v>
      </c>
    </row>
    <row r="217" spans="1:14" s="26" customFormat="1" ht="12.75">
      <c r="A217" s="26" t="s">
        <v>627</v>
      </c>
      <c r="B217" s="26">
        <v>403.20000000000005</v>
      </c>
      <c r="C217" s="26" t="s">
        <v>37</v>
      </c>
      <c r="D217" s="26" t="s">
        <v>40</v>
      </c>
      <c r="E217" s="26" t="s">
        <v>29</v>
      </c>
      <c r="F217" s="26" t="s">
        <v>35</v>
      </c>
      <c r="G217" s="26" t="s">
        <v>33</v>
      </c>
      <c r="H217" s="26">
        <v>2</v>
      </c>
      <c r="I217" s="26">
        <f t="shared" si="8"/>
        <v>5.9994327167571591</v>
      </c>
      <c r="J217" s="26">
        <v>1</v>
      </c>
      <c r="K217" s="26" t="s">
        <v>31</v>
      </c>
      <c r="L217" s="26" t="s">
        <v>31</v>
      </c>
      <c r="M217" s="26" t="s">
        <v>31</v>
      </c>
    </row>
    <row r="218" spans="1:14" s="26" customFormat="1" ht="15.75">
      <c r="A218" s="29" t="s">
        <v>5</v>
      </c>
      <c r="B218" s="29" t="s">
        <v>1635</v>
      </c>
      <c r="C218" s="30"/>
      <c r="D218" s="31"/>
      <c r="E218" s="31"/>
      <c r="F218" s="31"/>
      <c r="G218" s="31"/>
      <c r="H218" s="31"/>
      <c r="I218" s="31"/>
      <c r="J218" s="31"/>
      <c r="K218" s="31"/>
      <c r="L218" s="31"/>
      <c r="M218" s="31"/>
      <c r="N218" s="31"/>
    </row>
    <row r="219" spans="1:14" s="26" customFormat="1" ht="12.75">
      <c r="A219" s="26" t="s">
        <v>7</v>
      </c>
      <c r="B219" s="26" t="s">
        <v>1583</v>
      </c>
    </row>
    <row r="220" spans="1:14" s="26" customFormat="1" ht="12.75">
      <c r="A220" s="26" t="s">
        <v>9</v>
      </c>
      <c r="B220" s="26" t="s">
        <v>1663</v>
      </c>
    </row>
    <row r="221" spans="1:14" s="26" customFormat="1" ht="38.25">
      <c r="A221" s="26" t="s">
        <v>11</v>
      </c>
      <c r="B221" s="37" t="s">
        <v>1664</v>
      </c>
    </row>
    <row r="222" spans="1:14" s="26" customFormat="1" ht="12.75">
      <c r="A222" s="26" t="s">
        <v>13</v>
      </c>
      <c r="B222" s="26" t="s">
        <v>14</v>
      </c>
    </row>
    <row r="223" spans="1:14" s="26" customFormat="1" ht="12.75">
      <c r="A223" s="26" t="s">
        <v>15</v>
      </c>
      <c r="B223" s="32">
        <v>1</v>
      </c>
    </row>
    <row r="224" spans="1:14" s="26" customFormat="1" ht="12.75">
      <c r="A224" s="26" t="s">
        <v>16</v>
      </c>
      <c r="B224" s="26" t="s">
        <v>17</v>
      </c>
    </row>
    <row r="225" spans="1:14" s="26" customFormat="1" ht="12.75">
      <c r="A225" s="26" t="s">
        <v>18</v>
      </c>
      <c r="B225" s="26" t="s">
        <v>18</v>
      </c>
    </row>
    <row r="226" spans="1:14" ht="15.75">
      <c r="A226" s="27" t="s">
        <v>19</v>
      </c>
    </row>
    <row r="227" spans="1:14" ht="15.75">
      <c r="A227" s="27" t="s">
        <v>20</v>
      </c>
      <c r="B227" s="27" t="s">
        <v>21</v>
      </c>
      <c r="C227" s="27" t="s">
        <v>18</v>
      </c>
      <c r="D227" s="27" t="s">
        <v>22</v>
      </c>
      <c r="E227" s="27" t="s">
        <v>7</v>
      </c>
      <c r="F227" s="27" t="s">
        <v>13</v>
      </c>
      <c r="G227" s="27" t="s">
        <v>16</v>
      </c>
      <c r="H227" s="27" t="s">
        <v>23</v>
      </c>
      <c r="I227" s="27" t="s">
        <v>24</v>
      </c>
      <c r="J227" s="27" t="s">
        <v>25</v>
      </c>
      <c r="K227" s="27" t="s">
        <v>26</v>
      </c>
      <c r="L227" s="27" t="s">
        <v>27</v>
      </c>
      <c r="M227" s="27" t="s">
        <v>28</v>
      </c>
      <c r="N227" s="27" t="s">
        <v>68</v>
      </c>
    </row>
    <row r="228" spans="1:14">
      <c r="A228" s="26" t="s">
        <v>1635</v>
      </c>
      <c r="B228" s="26">
        <f>B223</f>
        <v>1</v>
      </c>
      <c r="C228" s="26" t="str">
        <f>B225</f>
        <v>unit</v>
      </c>
      <c r="D228" s="26" t="s">
        <v>2</v>
      </c>
      <c r="E228" s="26" t="s">
        <v>29</v>
      </c>
      <c r="F228" s="26" t="str">
        <f>B222</f>
        <v>EUR</v>
      </c>
      <c r="G228" s="26" t="s">
        <v>30</v>
      </c>
      <c r="H228" s="26">
        <v>0</v>
      </c>
      <c r="I228" s="26">
        <f>B228</f>
        <v>1</v>
      </c>
      <c r="J228" s="26" t="s">
        <v>31</v>
      </c>
      <c r="K228" s="26" t="s">
        <v>31</v>
      </c>
      <c r="L228" s="26" t="s">
        <v>31</v>
      </c>
      <c r="M228" s="26" t="s">
        <v>31</v>
      </c>
      <c r="N228" s="26"/>
    </row>
    <row r="229" spans="1:14">
      <c r="A229" s="26" t="s">
        <v>682</v>
      </c>
      <c r="B229" s="26">
        <v>21.599999999999998</v>
      </c>
      <c r="C229" s="26" t="s">
        <v>37</v>
      </c>
      <c r="D229" s="26" t="s">
        <v>40</v>
      </c>
      <c r="E229" s="26" t="s">
        <v>29</v>
      </c>
      <c r="F229" s="26" t="s">
        <v>58</v>
      </c>
      <c r="G229" s="26" t="s">
        <v>33</v>
      </c>
      <c r="H229" s="26">
        <v>2</v>
      </c>
      <c r="I229" s="26">
        <f t="shared" ref="I229:I238" si="9">LN(B229)</f>
        <v>3.0726933146901194</v>
      </c>
      <c r="J229" s="26">
        <v>1</v>
      </c>
      <c r="K229" s="26" t="s">
        <v>31</v>
      </c>
      <c r="L229" s="26" t="s">
        <v>31</v>
      </c>
      <c r="M229" s="26" t="s">
        <v>31</v>
      </c>
      <c r="N229" s="26"/>
    </row>
    <row r="230" spans="1:14">
      <c r="A230" s="32" t="s">
        <v>600</v>
      </c>
      <c r="B230" s="26">
        <v>21.599999999999998</v>
      </c>
      <c r="C230" s="26" t="s">
        <v>37</v>
      </c>
      <c r="D230" s="26" t="s">
        <v>40</v>
      </c>
      <c r="E230" s="26" t="s">
        <v>29</v>
      </c>
      <c r="F230" s="26" t="s">
        <v>58</v>
      </c>
      <c r="G230" s="26" t="s">
        <v>33</v>
      </c>
      <c r="H230" s="26">
        <v>2</v>
      </c>
      <c r="I230" s="26">
        <f t="shared" si="9"/>
        <v>3.0726933146901194</v>
      </c>
      <c r="J230" s="26">
        <v>1</v>
      </c>
      <c r="K230" s="26" t="s">
        <v>31</v>
      </c>
      <c r="L230" s="26" t="s">
        <v>31</v>
      </c>
      <c r="M230" s="26" t="s">
        <v>31</v>
      </c>
      <c r="N230" s="26"/>
    </row>
    <row r="231" spans="1:14">
      <c r="A231" s="26" t="s">
        <v>682</v>
      </c>
      <c r="B231" s="34">
        <v>3301.2</v>
      </c>
      <c r="C231" s="26" t="s">
        <v>37</v>
      </c>
      <c r="D231" s="26" t="s">
        <v>40</v>
      </c>
      <c r="E231" s="26" t="s">
        <v>29</v>
      </c>
      <c r="F231" s="26" t="s">
        <v>58</v>
      </c>
      <c r="G231" s="26" t="s">
        <v>33</v>
      </c>
      <c r="H231" s="26">
        <v>2</v>
      </c>
      <c r="I231" s="26">
        <f t="shared" si="9"/>
        <v>8.1020413177185286</v>
      </c>
      <c r="J231" s="26">
        <v>1</v>
      </c>
      <c r="K231" s="26" t="s">
        <v>31</v>
      </c>
      <c r="L231" s="26" t="s">
        <v>31</v>
      </c>
      <c r="M231" s="26" t="s">
        <v>31</v>
      </c>
      <c r="N231" s="26"/>
    </row>
    <row r="232" spans="1:14">
      <c r="A232" s="26" t="s">
        <v>238</v>
      </c>
      <c r="B232" s="34">
        <v>259.2</v>
      </c>
      <c r="C232" s="26" t="s">
        <v>37</v>
      </c>
      <c r="D232" s="26" t="s">
        <v>40</v>
      </c>
      <c r="E232" s="26" t="s">
        <v>29</v>
      </c>
      <c r="F232" s="26" t="s">
        <v>58</v>
      </c>
      <c r="G232" s="26" t="s">
        <v>33</v>
      </c>
      <c r="H232" s="26">
        <v>2</v>
      </c>
      <c r="I232" s="26">
        <f t="shared" si="9"/>
        <v>5.5575999644781193</v>
      </c>
      <c r="J232" s="26">
        <v>1</v>
      </c>
      <c r="K232" s="26" t="s">
        <v>31</v>
      </c>
      <c r="L232" s="26" t="s">
        <v>31</v>
      </c>
      <c r="M232" s="26" t="s">
        <v>31</v>
      </c>
      <c r="N232" s="26"/>
    </row>
    <row r="233" spans="1:14">
      <c r="A233" s="26" t="s">
        <v>342</v>
      </c>
      <c r="B233" s="34">
        <v>21.599999999999998</v>
      </c>
      <c r="C233" s="26" t="s">
        <v>37</v>
      </c>
      <c r="D233" s="26" t="s">
        <v>40</v>
      </c>
      <c r="E233" s="26" t="s">
        <v>29</v>
      </c>
      <c r="F233" s="26" t="s">
        <v>58</v>
      </c>
      <c r="G233" s="26" t="s">
        <v>33</v>
      </c>
      <c r="H233" s="26">
        <v>2</v>
      </c>
      <c r="I233" s="26">
        <f t="shared" si="9"/>
        <v>3.0726933146901194</v>
      </c>
      <c r="J233" s="26">
        <v>1</v>
      </c>
      <c r="K233" s="26" t="s">
        <v>31</v>
      </c>
      <c r="L233" s="26" t="s">
        <v>31</v>
      </c>
      <c r="M233" s="26" t="s">
        <v>31</v>
      </c>
      <c r="N233" s="26"/>
    </row>
    <row r="234" spans="1:14">
      <c r="A234" s="32" t="s">
        <v>1638</v>
      </c>
      <c r="B234" s="34">
        <v>7.1999999999999993</v>
      </c>
      <c r="C234" s="26" t="s">
        <v>37</v>
      </c>
      <c r="D234" s="26" t="s">
        <v>40</v>
      </c>
      <c r="E234" s="26" t="s">
        <v>29</v>
      </c>
      <c r="F234" s="26" t="s">
        <v>58</v>
      </c>
      <c r="G234" s="26" t="s">
        <v>33</v>
      </c>
      <c r="H234" s="26">
        <v>2</v>
      </c>
      <c r="I234" s="26">
        <f t="shared" si="9"/>
        <v>1.9740810260220096</v>
      </c>
      <c r="J234" s="26">
        <v>1</v>
      </c>
      <c r="K234" s="26" t="s">
        <v>31</v>
      </c>
      <c r="L234" s="26" t="s">
        <v>31</v>
      </c>
      <c r="M234" s="26" t="s">
        <v>31</v>
      </c>
      <c r="N234" s="26"/>
    </row>
    <row r="235" spans="1:14">
      <c r="A235" s="26" t="s">
        <v>1642</v>
      </c>
      <c r="B235" s="34">
        <v>21.599999999999998</v>
      </c>
      <c r="C235" s="26" t="s">
        <v>37</v>
      </c>
      <c r="D235" s="26" t="s">
        <v>40</v>
      </c>
      <c r="E235" s="26" t="s">
        <v>29</v>
      </c>
      <c r="F235" s="26" t="s">
        <v>58</v>
      </c>
      <c r="G235" s="26" t="s">
        <v>33</v>
      </c>
      <c r="H235" s="26">
        <v>2</v>
      </c>
      <c r="I235" s="26">
        <f t="shared" si="9"/>
        <v>3.0726933146901194</v>
      </c>
      <c r="J235" s="26">
        <v>1</v>
      </c>
      <c r="K235" s="26" t="s">
        <v>31</v>
      </c>
      <c r="L235" s="26" t="s">
        <v>31</v>
      </c>
      <c r="M235" s="26" t="s">
        <v>31</v>
      </c>
      <c r="N235" s="26"/>
    </row>
    <row r="236" spans="1:14">
      <c r="A236" s="26" t="s">
        <v>1624</v>
      </c>
      <c r="B236" s="34">
        <v>432</v>
      </c>
      <c r="C236" s="26" t="s">
        <v>37</v>
      </c>
      <c r="D236" s="26" t="s">
        <v>40</v>
      </c>
      <c r="E236" s="26" t="s">
        <v>29</v>
      </c>
      <c r="F236" s="26" t="s">
        <v>58</v>
      </c>
      <c r="G236" s="26" t="s">
        <v>33</v>
      </c>
      <c r="H236" s="26">
        <v>2</v>
      </c>
      <c r="I236" s="26">
        <f t="shared" si="9"/>
        <v>6.0684255882441107</v>
      </c>
      <c r="J236" s="26">
        <v>1</v>
      </c>
      <c r="K236" s="26" t="s">
        <v>31</v>
      </c>
      <c r="L236" s="26" t="s">
        <v>31</v>
      </c>
      <c r="M236" s="26" t="s">
        <v>31</v>
      </c>
      <c r="N236" s="26"/>
    </row>
    <row r="237" spans="1:14">
      <c r="A237" s="26" t="s">
        <v>610</v>
      </c>
      <c r="B237" s="26">
        <v>432</v>
      </c>
      <c r="C237" s="26" t="s">
        <v>37</v>
      </c>
      <c r="D237" s="26" t="s">
        <v>40</v>
      </c>
      <c r="E237" s="26" t="s">
        <v>29</v>
      </c>
      <c r="F237" s="26" t="s">
        <v>58</v>
      </c>
      <c r="G237" s="26" t="s">
        <v>33</v>
      </c>
      <c r="H237" s="26">
        <v>2</v>
      </c>
      <c r="I237" s="26">
        <f t="shared" si="9"/>
        <v>6.0684255882441107</v>
      </c>
      <c r="J237" s="26">
        <v>1</v>
      </c>
      <c r="K237" s="26" t="s">
        <v>31</v>
      </c>
      <c r="L237" s="26" t="s">
        <v>31</v>
      </c>
      <c r="M237" s="26" t="s">
        <v>31</v>
      </c>
      <c r="N237" s="26"/>
    </row>
    <row r="238" spans="1:14">
      <c r="A238" s="32" t="s">
        <v>334</v>
      </c>
      <c r="B238" s="26">
        <v>122.4</v>
      </c>
      <c r="C238" s="26" t="s">
        <v>37</v>
      </c>
      <c r="D238" s="26" t="s">
        <v>40</v>
      </c>
      <c r="E238" s="26" t="s">
        <v>29</v>
      </c>
      <c r="F238" s="26" t="s">
        <v>58</v>
      </c>
      <c r="G238" s="26" t="s">
        <v>33</v>
      </c>
      <c r="H238" s="26">
        <v>2</v>
      </c>
      <c r="I238" s="26">
        <f t="shared" si="9"/>
        <v>4.8072943700782256</v>
      </c>
      <c r="J238" s="26">
        <v>1</v>
      </c>
      <c r="K238" s="26" t="s">
        <v>31</v>
      </c>
      <c r="L238" s="26" t="s">
        <v>31</v>
      </c>
      <c r="M238" s="26" t="s">
        <v>31</v>
      </c>
      <c r="N238" s="26"/>
    </row>
    <row r="239" spans="1:14" s="26" customFormat="1" ht="15.75">
      <c r="A239" s="29" t="s">
        <v>5</v>
      </c>
      <c r="B239" s="29" t="s">
        <v>1615</v>
      </c>
      <c r="C239" s="30"/>
      <c r="D239" s="31"/>
      <c r="E239" s="31"/>
      <c r="F239" s="31"/>
      <c r="G239" s="31"/>
      <c r="H239" s="31"/>
      <c r="I239" s="31"/>
      <c r="J239" s="31"/>
      <c r="K239" s="31"/>
      <c r="L239" s="31"/>
      <c r="M239" s="31"/>
      <c r="N239" s="31"/>
    </row>
    <row r="240" spans="1:14" s="26" customFormat="1" ht="12.75">
      <c r="A240" s="26" t="s">
        <v>7</v>
      </c>
      <c r="B240" s="26" t="s">
        <v>1583</v>
      </c>
    </row>
    <row r="241" spans="1:14" s="26" customFormat="1" ht="12.75">
      <c r="A241" s="26" t="s">
        <v>9</v>
      </c>
      <c r="B241" s="26" t="s">
        <v>1665</v>
      </c>
    </row>
    <row r="242" spans="1:14" s="26" customFormat="1" ht="38.25">
      <c r="A242" s="26" t="s">
        <v>11</v>
      </c>
      <c r="B242" s="37" t="s">
        <v>1666</v>
      </c>
    </row>
    <row r="243" spans="1:14" s="26" customFormat="1" ht="12.75">
      <c r="A243" s="26" t="s">
        <v>13</v>
      </c>
      <c r="B243" s="26" t="s">
        <v>14</v>
      </c>
    </row>
    <row r="244" spans="1:14" s="26" customFormat="1" ht="12.75">
      <c r="A244" s="26" t="s">
        <v>15</v>
      </c>
      <c r="B244" s="32">
        <v>1</v>
      </c>
    </row>
    <row r="245" spans="1:14" s="26" customFormat="1" ht="12.75">
      <c r="A245" s="26" t="s">
        <v>16</v>
      </c>
      <c r="B245" s="26" t="s">
        <v>17</v>
      </c>
    </row>
    <row r="246" spans="1:14" s="26" customFormat="1" ht="12.75">
      <c r="A246" s="26" t="s">
        <v>18</v>
      </c>
      <c r="B246" s="26" t="s">
        <v>18</v>
      </c>
    </row>
    <row r="247" spans="1:14" ht="15.75">
      <c r="A247" s="27" t="s">
        <v>19</v>
      </c>
    </row>
    <row r="248" spans="1:14" ht="15.75">
      <c r="A248" s="27" t="s">
        <v>20</v>
      </c>
      <c r="B248" s="27" t="s">
        <v>21</v>
      </c>
      <c r="C248" s="27" t="s">
        <v>18</v>
      </c>
      <c r="D248" s="27" t="s">
        <v>22</v>
      </c>
      <c r="E248" s="27" t="s">
        <v>7</v>
      </c>
      <c r="F248" s="27" t="s">
        <v>13</v>
      </c>
      <c r="G248" s="27" t="s">
        <v>16</v>
      </c>
      <c r="H248" s="27" t="s">
        <v>23</v>
      </c>
      <c r="I248" s="27" t="s">
        <v>24</v>
      </c>
      <c r="J248" s="27" t="s">
        <v>25</v>
      </c>
      <c r="K248" s="27" t="s">
        <v>26</v>
      </c>
      <c r="L248" s="27" t="s">
        <v>27</v>
      </c>
      <c r="M248" s="27" t="s">
        <v>28</v>
      </c>
      <c r="N248" s="27" t="s">
        <v>68</v>
      </c>
    </row>
    <row r="249" spans="1:14">
      <c r="A249" s="26" t="s">
        <v>1615</v>
      </c>
      <c r="B249" s="26">
        <f>B244</f>
        <v>1</v>
      </c>
      <c r="C249" s="26" t="str">
        <f>B246</f>
        <v>unit</v>
      </c>
      <c r="D249" s="26" t="s">
        <v>2</v>
      </c>
      <c r="E249" s="26" t="s">
        <v>29</v>
      </c>
      <c r="F249" s="26" t="str">
        <f>B243</f>
        <v>EUR</v>
      </c>
      <c r="G249" s="26" t="s">
        <v>30</v>
      </c>
      <c r="H249" s="26">
        <v>0</v>
      </c>
      <c r="I249" s="26">
        <f>B249</f>
        <v>1</v>
      </c>
      <c r="J249" s="26" t="s">
        <v>31</v>
      </c>
      <c r="K249" s="26" t="s">
        <v>31</v>
      </c>
      <c r="L249" s="26" t="s">
        <v>31</v>
      </c>
      <c r="M249" s="26" t="s">
        <v>31</v>
      </c>
      <c r="N249" s="26"/>
    </row>
    <row r="250" spans="1:14">
      <c r="A250" s="32" t="s">
        <v>688</v>
      </c>
      <c r="B250" s="26">
        <v>1766432.0000000002</v>
      </c>
      <c r="C250" s="26" t="s">
        <v>37</v>
      </c>
      <c r="D250" s="26" t="s">
        <v>40</v>
      </c>
      <c r="E250" s="26" t="s">
        <v>29</v>
      </c>
      <c r="F250" s="26" t="s">
        <v>58</v>
      </c>
      <c r="G250" s="26" t="s">
        <v>33</v>
      </c>
      <c r="H250" s="26">
        <v>2</v>
      </c>
      <c r="I250" s="26">
        <f t="shared" ref="I250:I265" si="10">LN(B250)</f>
        <v>14.384472250842851</v>
      </c>
      <c r="J250" s="26">
        <v>1</v>
      </c>
      <c r="K250" s="26" t="s">
        <v>31</v>
      </c>
      <c r="L250" s="26" t="s">
        <v>31</v>
      </c>
      <c r="M250" s="26" t="s">
        <v>31</v>
      </c>
      <c r="N250" s="26"/>
    </row>
    <row r="251" spans="1:14">
      <c r="A251" s="32" t="s">
        <v>688</v>
      </c>
      <c r="B251" s="26">
        <v>3075.2000000000003</v>
      </c>
      <c r="C251" s="26" t="s">
        <v>37</v>
      </c>
      <c r="D251" s="26" t="s">
        <v>40</v>
      </c>
      <c r="E251" s="26" t="s">
        <v>29</v>
      </c>
      <c r="F251" s="26" t="s">
        <v>58</v>
      </c>
      <c r="G251" s="26" t="s">
        <v>33</v>
      </c>
      <c r="H251" s="26">
        <v>2</v>
      </c>
      <c r="I251" s="26">
        <f t="shared" si="10"/>
        <v>8.0311252187759727</v>
      </c>
      <c r="J251" s="26">
        <v>1</v>
      </c>
      <c r="K251" s="26" t="s">
        <v>31</v>
      </c>
      <c r="L251" s="26" t="s">
        <v>31</v>
      </c>
      <c r="M251" s="26" t="s">
        <v>31</v>
      </c>
      <c r="N251" s="26"/>
    </row>
    <row r="252" spans="1:14">
      <c r="A252" s="32" t="s">
        <v>600</v>
      </c>
      <c r="B252" s="26">
        <v>3075.2000000000003</v>
      </c>
      <c r="C252" s="26" t="s">
        <v>37</v>
      </c>
      <c r="D252" s="26" t="s">
        <v>40</v>
      </c>
      <c r="E252" s="26" t="s">
        <v>29</v>
      </c>
      <c r="F252" s="26" t="s">
        <v>58</v>
      </c>
      <c r="G252" s="26" t="s">
        <v>33</v>
      </c>
      <c r="H252" s="26">
        <v>2</v>
      </c>
      <c r="I252" s="26">
        <f t="shared" si="10"/>
        <v>8.0311252187759727</v>
      </c>
      <c r="J252" s="26">
        <v>1</v>
      </c>
      <c r="K252" s="26" t="s">
        <v>31</v>
      </c>
      <c r="L252" s="26" t="s">
        <v>31</v>
      </c>
      <c r="M252" s="26" t="s">
        <v>31</v>
      </c>
      <c r="N252" s="26"/>
    </row>
    <row r="253" spans="1:14">
      <c r="A253" s="26" t="s">
        <v>682</v>
      </c>
      <c r="B253" s="26">
        <v>31152</v>
      </c>
      <c r="C253" s="26" t="s">
        <v>37</v>
      </c>
      <c r="D253" s="26" t="s">
        <v>40</v>
      </c>
      <c r="E253" s="26" t="s">
        <v>29</v>
      </c>
      <c r="F253" s="26" t="s">
        <v>58</v>
      </c>
      <c r="G253" s="26" t="s">
        <v>33</v>
      </c>
      <c r="H253" s="26">
        <v>2</v>
      </c>
      <c r="I253" s="26">
        <f t="shared" si="10"/>
        <v>10.34663372761198</v>
      </c>
      <c r="J253" s="26">
        <v>1</v>
      </c>
      <c r="K253" s="26" t="s">
        <v>31</v>
      </c>
      <c r="L253" s="26" t="s">
        <v>31</v>
      </c>
      <c r="M253" s="26" t="s">
        <v>31</v>
      </c>
      <c r="N253" s="26"/>
    </row>
    <row r="254" spans="1:14">
      <c r="A254" s="26" t="s">
        <v>238</v>
      </c>
      <c r="B254" s="26">
        <v>44.800000000000004</v>
      </c>
      <c r="C254" s="26" t="s">
        <v>37</v>
      </c>
      <c r="D254" s="26" t="s">
        <v>40</v>
      </c>
      <c r="E254" s="26" t="s">
        <v>29</v>
      </c>
      <c r="F254" s="26" t="s">
        <v>58</v>
      </c>
      <c r="G254" s="26" t="s">
        <v>33</v>
      </c>
      <c r="H254" s="26">
        <v>2</v>
      </c>
      <c r="I254" s="26">
        <f t="shared" si="10"/>
        <v>3.8022081394209395</v>
      </c>
      <c r="J254" s="26">
        <v>1</v>
      </c>
      <c r="K254" s="26" t="s">
        <v>31</v>
      </c>
      <c r="L254" s="26" t="s">
        <v>31</v>
      </c>
      <c r="M254" s="26" t="s">
        <v>31</v>
      </c>
      <c r="N254" s="26"/>
    </row>
    <row r="255" spans="1:14">
      <c r="A255" s="26" t="s">
        <v>342</v>
      </c>
      <c r="B255" s="26">
        <v>38537.600000000006</v>
      </c>
      <c r="C255" s="26" t="s">
        <v>37</v>
      </c>
      <c r="D255" s="26" t="s">
        <v>40</v>
      </c>
      <c r="E255" s="26" t="s">
        <v>29</v>
      </c>
      <c r="F255" s="26" t="s">
        <v>58</v>
      </c>
      <c r="G255" s="26" t="s">
        <v>33</v>
      </c>
      <c r="H255" s="26">
        <v>2</v>
      </c>
      <c r="I255" s="26">
        <f t="shared" si="10"/>
        <v>10.559389667066162</v>
      </c>
      <c r="J255" s="26">
        <v>1</v>
      </c>
      <c r="K255" s="26" t="s">
        <v>31</v>
      </c>
      <c r="L255" s="26" t="s">
        <v>31</v>
      </c>
      <c r="M255" s="26" t="s">
        <v>31</v>
      </c>
      <c r="N255" s="26"/>
    </row>
    <row r="256" spans="1:14">
      <c r="A256" s="26" t="s">
        <v>1642</v>
      </c>
      <c r="B256" s="26">
        <v>3.2</v>
      </c>
      <c r="C256" s="26" t="s">
        <v>37</v>
      </c>
      <c r="D256" s="26" t="s">
        <v>40</v>
      </c>
      <c r="E256" s="26" t="s">
        <v>29</v>
      </c>
      <c r="F256" s="26" t="s">
        <v>58</v>
      </c>
      <c r="G256" s="26" t="s">
        <v>33</v>
      </c>
      <c r="H256" s="26">
        <v>2</v>
      </c>
      <c r="I256" s="26">
        <f t="shared" si="10"/>
        <v>1.1631508098056809</v>
      </c>
      <c r="J256" s="26">
        <v>1</v>
      </c>
      <c r="K256" s="26" t="s">
        <v>31</v>
      </c>
      <c r="L256" s="26" t="s">
        <v>31</v>
      </c>
      <c r="M256" s="26" t="s">
        <v>31</v>
      </c>
      <c r="N256" s="26"/>
    </row>
    <row r="257" spans="1:14">
      <c r="A257" s="26" t="s">
        <v>348</v>
      </c>
      <c r="B257" s="26">
        <v>5363.2000000000007</v>
      </c>
      <c r="C257" s="26" t="s">
        <v>37</v>
      </c>
      <c r="D257" s="26" t="s">
        <v>40</v>
      </c>
      <c r="E257" s="26" t="s">
        <v>29</v>
      </c>
      <c r="F257" s="26" t="s">
        <v>58</v>
      </c>
      <c r="G257" s="26" t="s">
        <v>33</v>
      </c>
      <c r="H257" s="26">
        <v>2</v>
      </c>
      <c r="I257" s="26">
        <f t="shared" si="10"/>
        <v>8.5873160908477093</v>
      </c>
      <c r="J257" s="26">
        <v>1</v>
      </c>
      <c r="K257" s="26" t="s">
        <v>31</v>
      </c>
      <c r="L257" s="26" t="s">
        <v>31</v>
      </c>
      <c r="M257" s="26" t="s">
        <v>31</v>
      </c>
      <c r="N257" s="26"/>
    </row>
    <row r="258" spans="1:14">
      <c r="A258" s="26" t="s">
        <v>1624</v>
      </c>
      <c r="B258" s="26">
        <v>1363.2</v>
      </c>
      <c r="C258" s="26" t="s">
        <v>37</v>
      </c>
      <c r="D258" s="26" t="s">
        <v>40</v>
      </c>
      <c r="E258" s="26" t="s">
        <v>29</v>
      </c>
      <c r="F258" s="26" t="s">
        <v>58</v>
      </c>
      <c r="G258" s="26" t="s">
        <v>33</v>
      </c>
      <c r="H258" s="26">
        <v>2</v>
      </c>
      <c r="I258" s="26">
        <f t="shared" si="10"/>
        <v>7.2175901560750511</v>
      </c>
      <c r="J258" s="26">
        <v>1</v>
      </c>
      <c r="K258" s="26" t="s">
        <v>31</v>
      </c>
      <c r="L258" s="26" t="s">
        <v>31</v>
      </c>
      <c r="M258" s="26" t="s">
        <v>31</v>
      </c>
      <c r="N258" s="26"/>
    </row>
    <row r="259" spans="1:14">
      <c r="A259" s="26" t="s">
        <v>610</v>
      </c>
      <c r="B259" s="26">
        <v>1363.2</v>
      </c>
      <c r="C259" s="26" t="s">
        <v>37</v>
      </c>
      <c r="D259" s="26" t="s">
        <v>40</v>
      </c>
      <c r="E259" s="26" t="s">
        <v>29</v>
      </c>
      <c r="F259" s="26" t="s">
        <v>58</v>
      </c>
      <c r="G259" s="26" t="s">
        <v>33</v>
      </c>
      <c r="H259" s="26">
        <v>2</v>
      </c>
      <c r="I259" s="26">
        <f t="shared" si="10"/>
        <v>7.2175901560750511</v>
      </c>
      <c r="J259" s="26">
        <v>1</v>
      </c>
      <c r="K259" s="26" t="s">
        <v>31</v>
      </c>
      <c r="L259" s="26" t="s">
        <v>31</v>
      </c>
      <c r="M259" s="26" t="s">
        <v>31</v>
      </c>
      <c r="N259" s="26"/>
    </row>
    <row r="260" spans="1:14">
      <c r="A260" s="32" t="s">
        <v>334</v>
      </c>
      <c r="B260" s="26">
        <v>19.200000000000003</v>
      </c>
      <c r="C260" s="26" t="s">
        <v>37</v>
      </c>
      <c r="D260" s="26" t="s">
        <v>40</v>
      </c>
      <c r="E260" s="26" t="s">
        <v>29</v>
      </c>
      <c r="F260" s="26" t="s">
        <v>58</v>
      </c>
      <c r="G260" s="26" t="s">
        <v>33</v>
      </c>
      <c r="H260" s="26">
        <v>2</v>
      </c>
      <c r="I260" s="26">
        <f t="shared" si="10"/>
        <v>2.954910279033736</v>
      </c>
      <c r="J260" s="26">
        <v>1</v>
      </c>
      <c r="K260" s="26" t="s">
        <v>31</v>
      </c>
      <c r="L260" s="26" t="s">
        <v>31</v>
      </c>
      <c r="M260" s="26" t="s">
        <v>31</v>
      </c>
      <c r="N260" s="26"/>
    </row>
    <row r="261" spans="1:14">
      <c r="A261" s="32" t="s">
        <v>1667</v>
      </c>
      <c r="B261" s="26">
        <f>13542.4/0.075</f>
        <v>180565.33333333334</v>
      </c>
      <c r="C261" s="26" t="s">
        <v>18</v>
      </c>
      <c r="D261" s="26" t="s">
        <v>40</v>
      </c>
      <c r="E261" s="26" t="s">
        <v>29</v>
      </c>
      <c r="F261" s="26" t="s">
        <v>58</v>
      </c>
      <c r="G261" s="26" t="s">
        <v>33</v>
      </c>
      <c r="H261" s="26">
        <v>2</v>
      </c>
      <c r="I261" s="26">
        <f t="shared" si="10"/>
        <v>12.103847948789642</v>
      </c>
      <c r="J261" s="26">
        <v>1</v>
      </c>
      <c r="K261" s="26" t="s">
        <v>31</v>
      </c>
      <c r="L261" s="26" t="s">
        <v>31</v>
      </c>
      <c r="M261" s="26" t="s">
        <v>31</v>
      </c>
      <c r="N261" s="26"/>
    </row>
    <row r="262" spans="1:14">
      <c r="A262" s="32" t="s">
        <v>672</v>
      </c>
      <c r="B262" s="26">
        <v>35.200000000000003</v>
      </c>
      <c r="C262" s="26" t="s">
        <v>37</v>
      </c>
      <c r="D262" s="26" t="s">
        <v>40</v>
      </c>
      <c r="E262" s="26" t="s">
        <v>29</v>
      </c>
      <c r="F262" s="26" t="s">
        <v>58</v>
      </c>
      <c r="G262" s="26" t="s">
        <v>33</v>
      </c>
      <c r="H262" s="26">
        <v>2</v>
      </c>
      <c r="I262" s="26">
        <f t="shared" si="10"/>
        <v>3.5610460826040513</v>
      </c>
      <c r="J262" s="26">
        <v>1</v>
      </c>
      <c r="K262" s="26" t="s">
        <v>31</v>
      </c>
      <c r="L262" s="26" t="s">
        <v>31</v>
      </c>
      <c r="M262" s="26" t="s">
        <v>31</v>
      </c>
      <c r="N262" s="32" t="s">
        <v>1652</v>
      </c>
    </row>
    <row r="263" spans="1:14">
      <c r="A263" s="26" t="s">
        <v>857</v>
      </c>
      <c r="B263" s="26">
        <v>57.6</v>
      </c>
      <c r="C263" s="26" t="s">
        <v>37</v>
      </c>
      <c r="D263" s="26" t="s">
        <v>40</v>
      </c>
      <c r="E263" s="26" t="s">
        <v>29</v>
      </c>
      <c r="F263" s="26" t="s">
        <v>58</v>
      </c>
      <c r="G263" s="26" t="s">
        <v>33</v>
      </c>
      <c r="H263" s="26">
        <v>2</v>
      </c>
      <c r="I263" s="26">
        <f t="shared" si="10"/>
        <v>4.0535225677018456</v>
      </c>
      <c r="J263" s="26">
        <v>1</v>
      </c>
      <c r="K263" s="26" t="s">
        <v>31</v>
      </c>
      <c r="L263" s="26" t="s">
        <v>31</v>
      </c>
      <c r="M263" s="26" t="s">
        <v>31</v>
      </c>
      <c r="N263" s="26"/>
    </row>
    <row r="264" spans="1:14">
      <c r="A264" s="32" t="s">
        <v>1626</v>
      </c>
      <c r="B264" s="34">
        <v>134.4</v>
      </c>
      <c r="C264" s="26" t="s">
        <v>37</v>
      </c>
      <c r="D264" s="26" t="s">
        <v>40</v>
      </c>
      <c r="E264" s="26" t="s">
        <v>29</v>
      </c>
      <c r="F264" s="26" t="s">
        <v>58</v>
      </c>
      <c r="G264" s="26" t="s">
        <v>33</v>
      </c>
      <c r="H264" s="26">
        <v>2</v>
      </c>
      <c r="I264" s="26">
        <f t="shared" si="10"/>
        <v>4.9008204280890491</v>
      </c>
      <c r="J264" s="26">
        <v>1</v>
      </c>
      <c r="K264" s="26" t="s">
        <v>31</v>
      </c>
      <c r="L264" s="26" t="s">
        <v>31</v>
      </c>
      <c r="M264" s="26" t="s">
        <v>31</v>
      </c>
      <c r="N264" s="32" t="s">
        <v>1668</v>
      </c>
    </row>
    <row r="265" spans="1:14">
      <c r="A265" s="26" t="s">
        <v>1669</v>
      </c>
      <c r="B265" s="26">
        <v>52819.200000000004</v>
      </c>
      <c r="C265" s="26" t="s">
        <v>37</v>
      </c>
      <c r="D265" s="26" t="s">
        <v>40</v>
      </c>
      <c r="E265" s="26" t="s">
        <v>29</v>
      </c>
      <c r="F265" s="26" t="s">
        <v>35</v>
      </c>
      <c r="G265" s="26" t="s">
        <v>33</v>
      </c>
      <c r="H265" s="26">
        <v>2</v>
      </c>
      <c r="I265" s="26">
        <f t="shared" si="10"/>
        <v>10.87463003995831</v>
      </c>
      <c r="J265" s="26">
        <v>1</v>
      </c>
      <c r="K265" s="26" t="s">
        <v>31</v>
      </c>
      <c r="L265" s="26" t="s">
        <v>31</v>
      </c>
      <c r="M265" s="26" t="s">
        <v>31</v>
      </c>
      <c r="N265" s="26" t="s">
        <v>1670</v>
      </c>
    </row>
    <row r="266" spans="1:14">
      <c r="A266" s="31"/>
      <c r="B266" s="31"/>
      <c r="C266" s="31"/>
      <c r="D266" s="31"/>
      <c r="E266" s="31"/>
      <c r="F266" s="31"/>
      <c r="G266" s="31"/>
      <c r="H266" s="31"/>
      <c r="I266" s="31"/>
      <c r="J266" s="31"/>
      <c r="K266" s="31"/>
      <c r="L266" s="31"/>
      <c r="M266" s="31"/>
      <c r="N266" s="31"/>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FD0F0-45BA-41FE-B44B-3B496A1B05C1}">
  <sheetPr>
    <tabColor theme="9"/>
  </sheetPr>
  <dimension ref="A1:P99"/>
  <sheetViews>
    <sheetView topLeftCell="A41" zoomScale="70" zoomScaleNormal="70" workbookViewId="0">
      <selection sqref="A1:B1"/>
    </sheetView>
  </sheetViews>
  <sheetFormatPr defaultRowHeight="15"/>
  <cols>
    <col min="1" max="1" width="65.5703125" customWidth="1"/>
    <col min="5" max="5" width="30" bestFit="1" customWidth="1"/>
    <col min="6" max="6" width="30.140625" bestFit="1" customWidth="1"/>
  </cols>
  <sheetData>
    <row r="1" spans="1:16">
      <c r="A1" t="s">
        <v>0</v>
      </c>
      <c r="B1">
        <v>14</v>
      </c>
    </row>
    <row r="2" spans="1:16" s="41" customFormat="1" ht="15.75">
      <c r="A2" s="38" t="s">
        <v>5</v>
      </c>
      <c r="B2" s="38" t="s">
        <v>1671</v>
      </c>
      <c r="C2" s="38"/>
      <c r="D2" s="39"/>
      <c r="E2" s="40"/>
      <c r="F2" s="40"/>
      <c r="G2" s="40"/>
      <c r="H2" s="40"/>
      <c r="I2" s="40"/>
      <c r="J2" s="40"/>
      <c r="K2" s="40"/>
      <c r="L2" s="40"/>
      <c r="M2" s="40"/>
      <c r="N2" s="40"/>
      <c r="O2" s="40"/>
      <c r="P2" s="40"/>
    </row>
    <row r="3" spans="1:16">
      <c r="A3" s="42" t="s">
        <v>7</v>
      </c>
      <c r="B3" s="42" t="s">
        <v>1349</v>
      </c>
      <c r="C3" s="42"/>
      <c r="D3" s="42"/>
      <c r="E3" s="42"/>
      <c r="F3" s="42"/>
      <c r="G3" s="42"/>
      <c r="H3" s="42"/>
      <c r="I3" s="42"/>
      <c r="J3" s="42"/>
      <c r="K3" s="42"/>
      <c r="L3" s="42"/>
      <c r="M3" s="42"/>
      <c r="N3" s="42"/>
      <c r="O3" s="42"/>
      <c r="P3" s="42"/>
    </row>
    <row r="4" spans="1:16">
      <c r="A4" s="42" t="s">
        <v>9</v>
      </c>
      <c r="B4" s="43" t="s">
        <v>1672</v>
      </c>
      <c r="C4" s="42"/>
      <c r="D4" s="42"/>
      <c r="E4" s="42"/>
      <c r="F4" s="42"/>
      <c r="G4" s="42"/>
      <c r="H4" s="42"/>
      <c r="I4" s="42"/>
      <c r="J4" s="42"/>
      <c r="K4" s="42"/>
      <c r="L4" s="42"/>
      <c r="M4" s="42"/>
      <c r="N4" s="42"/>
      <c r="O4" s="42"/>
      <c r="P4" s="42"/>
    </row>
    <row r="5" spans="1:16">
      <c r="A5" s="42" t="s">
        <v>11</v>
      </c>
      <c r="B5" s="42" t="s">
        <v>1673</v>
      </c>
      <c r="C5" s="42"/>
      <c r="D5" s="42"/>
      <c r="E5" s="42"/>
      <c r="F5" s="42"/>
      <c r="G5" s="42"/>
      <c r="H5" s="42"/>
      <c r="I5" s="42"/>
      <c r="J5" s="42"/>
      <c r="K5" s="42"/>
      <c r="L5" s="42"/>
      <c r="M5" s="42"/>
      <c r="N5" s="42"/>
      <c r="O5" s="42"/>
      <c r="P5" s="42"/>
    </row>
    <row r="6" spans="1:16">
      <c r="A6" s="42" t="s">
        <v>13</v>
      </c>
      <c r="B6" s="42" t="s">
        <v>58</v>
      </c>
      <c r="C6" s="42"/>
      <c r="D6" s="42"/>
      <c r="E6" s="42"/>
      <c r="F6" s="42"/>
      <c r="G6" s="42"/>
      <c r="H6" s="42"/>
      <c r="I6" s="42"/>
      <c r="J6" s="42"/>
      <c r="K6" s="42"/>
      <c r="L6" s="42"/>
      <c r="M6" s="42"/>
      <c r="N6" s="42"/>
      <c r="O6" s="42"/>
      <c r="P6" s="42"/>
    </row>
    <row r="7" spans="1:16">
      <c r="A7" s="42" t="s">
        <v>15</v>
      </c>
      <c r="B7" s="42">
        <v>1</v>
      </c>
      <c r="C7" s="42"/>
      <c r="D7" s="42"/>
      <c r="E7" s="42"/>
      <c r="F7" s="42"/>
      <c r="G7" s="42"/>
      <c r="H7" s="42"/>
      <c r="I7" s="42"/>
      <c r="J7" s="42"/>
      <c r="K7" s="42"/>
      <c r="L7" s="42"/>
      <c r="M7" s="42"/>
      <c r="N7" s="42"/>
      <c r="O7" s="42"/>
      <c r="P7" s="42"/>
    </row>
    <row r="8" spans="1:16">
      <c r="A8" s="42" t="s">
        <v>16</v>
      </c>
      <c r="B8" s="42" t="s">
        <v>17</v>
      </c>
      <c r="C8" s="42"/>
      <c r="D8" s="42"/>
      <c r="E8" s="42"/>
      <c r="F8" s="42"/>
      <c r="G8" s="42"/>
      <c r="H8" s="42"/>
      <c r="I8" s="42"/>
      <c r="J8" s="42"/>
      <c r="K8" s="42"/>
      <c r="L8" s="42"/>
      <c r="M8" s="42"/>
      <c r="N8" s="42"/>
      <c r="O8" s="42"/>
      <c r="P8" s="42"/>
    </row>
    <row r="9" spans="1:16" ht="15.75">
      <c r="A9" s="42" t="s">
        <v>18</v>
      </c>
      <c r="B9" s="44" t="s">
        <v>37</v>
      </c>
      <c r="C9" s="42"/>
      <c r="D9" s="42"/>
      <c r="E9" s="42" t="s">
        <v>197</v>
      </c>
      <c r="F9" s="42"/>
      <c r="G9" s="42"/>
      <c r="H9" s="42"/>
      <c r="I9" s="42"/>
      <c r="J9" s="42"/>
      <c r="K9" s="42"/>
      <c r="L9" s="42"/>
      <c r="M9" s="42"/>
      <c r="N9" s="42"/>
      <c r="O9" s="42"/>
      <c r="P9" s="42"/>
    </row>
    <row r="10" spans="1:16" ht="15.75">
      <c r="A10" s="45" t="s">
        <v>19</v>
      </c>
      <c r="B10" s="42"/>
      <c r="C10" s="42"/>
      <c r="D10" s="42"/>
      <c r="E10" s="42"/>
      <c r="F10" s="42"/>
      <c r="G10" s="42"/>
      <c r="H10" s="42"/>
      <c r="I10" s="42"/>
      <c r="J10" s="42"/>
      <c r="K10" s="42"/>
      <c r="L10" s="42"/>
      <c r="M10" s="42"/>
      <c r="N10" s="42"/>
      <c r="O10" s="42"/>
      <c r="P10" s="42"/>
    </row>
    <row r="11" spans="1:16"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16" ht="15.75">
      <c r="A12" s="44" t="str">
        <f>B2</f>
        <v>treatment of aluminium, H2 plant construction EoL, PEMFC-bat</v>
      </c>
      <c r="B12" s="44">
        <v>1</v>
      </c>
      <c r="C12" s="44"/>
      <c r="D12" s="44" t="s">
        <v>37</v>
      </c>
      <c r="E12" s="42" t="s">
        <v>2</v>
      </c>
      <c r="F12" s="42" t="s">
        <v>1674</v>
      </c>
      <c r="G12" s="44" t="s">
        <v>58</v>
      </c>
      <c r="H12" s="42" t="s">
        <v>30</v>
      </c>
      <c r="I12" s="42">
        <v>0</v>
      </c>
      <c r="J12" s="44" t="s">
        <v>31</v>
      </c>
      <c r="K12" s="44" t="s">
        <v>31</v>
      </c>
      <c r="L12" s="44" t="s">
        <v>31</v>
      </c>
      <c r="M12" s="44" t="s">
        <v>31</v>
      </c>
      <c r="N12" s="44" t="s">
        <v>31</v>
      </c>
      <c r="O12" s="44" t="s">
        <v>1466</v>
      </c>
      <c r="P12" s="42"/>
    </row>
    <row r="13" spans="1:16" ht="15.75">
      <c r="A13" t="s">
        <v>245</v>
      </c>
      <c r="B13" s="23">
        <v>0.85</v>
      </c>
      <c r="C13" s="44"/>
      <c r="D13" s="44" t="s">
        <v>37</v>
      </c>
      <c r="E13" s="32" t="s">
        <v>40</v>
      </c>
      <c r="F13" s="42" t="s">
        <v>1674</v>
      </c>
      <c r="G13" s="44" t="s">
        <v>128</v>
      </c>
      <c r="H13" s="42" t="s">
        <v>33</v>
      </c>
      <c r="I13" s="42">
        <v>0</v>
      </c>
      <c r="J13" s="44" t="s">
        <v>31</v>
      </c>
      <c r="K13" s="44" t="s">
        <v>31</v>
      </c>
      <c r="L13" s="44" t="s">
        <v>31</v>
      </c>
      <c r="M13" s="44" t="s">
        <v>31</v>
      </c>
      <c r="N13" s="44" t="s">
        <v>31</v>
      </c>
      <c r="O13" s="42"/>
      <c r="P13" s="42"/>
    </row>
    <row r="14" spans="1:16" ht="15.75">
      <c r="A14" t="s">
        <v>247</v>
      </c>
      <c r="B14" s="23">
        <v>0.85</v>
      </c>
      <c r="C14" s="22" t="s">
        <v>248</v>
      </c>
      <c r="D14" t="s">
        <v>37</v>
      </c>
      <c r="E14" s="46" t="s">
        <v>40</v>
      </c>
      <c r="F14" s="42" t="s">
        <v>1674</v>
      </c>
      <c r="G14" s="44" t="s">
        <v>128</v>
      </c>
      <c r="H14" s="42" t="s">
        <v>33</v>
      </c>
      <c r="I14" s="42">
        <v>0</v>
      </c>
      <c r="J14" s="44" t="s">
        <v>31</v>
      </c>
      <c r="K14" s="44" t="s">
        <v>31</v>
      </c>
      <c r="L14" s="44" t="s">
        <v>31</v>
      </c>
      <c r="M14" s="44" t="s">
        <v>31</v>
      </c>
      <c r="N14" s="44" t="s">
        <v>31</v>
      </c>
      <c r="O14" s="44" t="s">
        <v>1367</v>
      </c>
    </row>
    <row r="15" spans="1:16" ht="15.75">
      <c r="A15" t="s">
        <v>329</v>
      </c>
      <c r="B15" s="23">
        <f>B14*0.9</f>
        <v>0.76500000000000001</v>
      </c>
      <c r="D15" t="s">
        <v>37</v>
      </c>
      <c r="E15" s="46" t="s">
        <v>40</v>
      </c>
      <c r="F15" s="42" t="s">
        <v>1674</v>
      </c>
      <c r="G15" t="s">
        <v>58</v>
      </c>
      <c r="H15" s="42" t="s">
        <v>243</v>
      </c>
      <c r="I15" s="42">
        <v>0</v>
      </c>
      <c r="J15" s="44" t="s">
        <v>31</v>
      </c>
      <c r="K15" s="44" t="s">
        <v>31</v>
      </c>
      <c r="L15" s="44" t="s">
        <v>31</v>
      </c>
      <c r="M15" s="44" t="s">
        <v>31</v>
      </c>
      <c r="N15" s="44" t="s">
        <v>31</v>
      </c>
      <c r="O15" s="42"/>
      <c r="P15" s="44" t="s">
        <v>1391</v>
      </c>
    </row>
    <row r="16" spans="1:16" ht="15.75">
      <c r="A16" t="s">
        <v>380</v>
      </c>
      <c r="B16" s="23">
        <f>-(1-B15)</f>
        <v>-0.23499999999999999</v>
      </c>
      <c r="D16" t="s">
        <v>37</v>
      </c>
      <c r="E16" s="47" t="s">
        <v>40</v>
      </c>
      <c r="F16" s="42" t="s">
        <v>1674</v>
      </c>
      <c r="G16" t="s">
        <v>58</v>
      </c>
      <c r="H16" t="s">
        <v>33</v>
      </c>
      <c r="I16">
        <v>0</v>
      </c>
      <c r="J16" t="s">
        <v>31</v>
      </c>
      <c r="K16" t="s">
        <v>31</v>
      </c>
      <c r="L16" t="s">
        <v>31</v>
      </c>
      <c r="M16" t="s">
        <v>31</v>
      </c>
      <c r="N16" t="s">
        <v>31</v>
      </c>
      <c r="O16" s="17"/>
      <c r="P16" s="42"/>
    </row>
    <row r="17" spans="1:16" s="41" customFormat="1" ht="15.75">
      <c r="A17" s="38" t="s">
        <v>5</v>
      </c>
      <c r="B17" s="38" t="s">
        <v>1675</v>
      </c>
      <c r="C17" s="38"/>
      <c r="D17" s="39"/>
      <c r="E17" s="40"/>
      <c r="F17" s="40"/>
      <c r="G17" s="40"/>
      <c r="H17" s="40"/>
      <c r="I17" s="40"/>
      <c r="J17" s="40"/>
      <c r="K17" s="40"/>
      <c r="L17" s="40"/>
      <c r="M17" s="40"/>
      <c r="N17" s="40"/>
      <c r="O17" s="40"/>
      <c r="P17" s="40"/>
    </row>
    <row r="18" spans="1:16">
      <c r="A18" s="42" t="s">
        <v>7</v>
      </c>
      <c r="B18" s="42" t="s">
        <v>1349</v>
      </c>
      <c r="C18" s="42"/>
      <c r="D18" s="42"/>
      <c r="E18" s="42"/>
      <c r="F18" s="42"/>
      <c r="G18" s="42"/>
      <c r="H18" s="42"/>
      <c r="I18" s="42"/>
      <c r="J18" s="42"/>
      <c r="K18" s="42"/>
      <c r="L18" s="42"/>
      <c r="M18" s="42"/>
      <c r="N18" s="42"/>
      <c r="O18" s="42"/>
      <c r="P18" s="42"/>
    </row>
    <row r="19" spans="1:16">
      <c r="A19" s="42" t="s">
        <v>9</v>
      </c>
      <c r="B19" s="43" t="s">
        <v>1676</v>
      </c>
      <c r="C19" s="42"/>
      <c r="D19" s="42"/>
      <c r="E19" s="42"/>
      <c r="F19" s="42"/>
      <c r="G19" s="42"/>
      <c r="H19" s="42"/>
      <c r="I19" s="42"/>
      <c r="J19" s="42"/>
      <c r="K19" s="42"/>
      <c r="L19" s="42"/>
      <c r="M19" s="42"/>
      <c r="N19" s="42"/>
      <c r="O19" s="42"/>
      <c r="P19" s="42"/>
    </row>
    <row r="20" spans="1:16">
      <c r="A20" s="42" t="s">
        <v>11</v>
      </c>
      <c r="B20" s="42" t="s">
        <v>1673</v>
      </c>
      <c r="C20" s="42"/>
      <c r="D20" s="42"/>
      <c r="E20" s="42"/>
      <c r="F20" s="42"/>
      <c r="G20" s="42"/>
      <c r="H20" s="42"/>
      <c r="I20" s="42"/>
      <c r="J20" s="42"/>
      <c r="K20" s="42"/>
      <c r="L20" s="42"/>
      <c r="M20" s="42"/>
      <c r="N20" s="42"/>
      <c r="O20" s="42"/>
      <c r="P20" s="42"/>
    </row>
    <row r="21" spans="1:16">
      <c r="A21" s="42" t="s">
        <v>13</v>
      </c>
      <c r="B21" s="42" t="s">
        <v>58</v>
      </c>
      <c r="C21" s="42"/>
      <c r="D21" s="42"/>
      <c r="E21" s="42"/>
      <c r="F21" s="42"/>
      <c r="G21" s="42"/>
      <c r="H21" s="42"/>
      <c r="I21" s="42"/>
      <c r="J21" s="42"/>
      <c r="K21" s="42"/>
      <c r="L21" s="42"/>
      <c r="M21" s="42"/>
      <c r="N21" s="42"/>
      <c r="O21" s="42"/>
      <c r="P21" s="42"/>
    </row>
    <row r="22" spans="1:16">
      <c r="A22" s="42" t="s">
        <v>15</v>
      </c>
      <c r="B22" s="42">
        <v>1</v>
      </c>
      <c r="C22" s="42"/>
      <c r="D22" s="42"/>
      <c r="E22" s="42"/>
      <c r="F22" s="42"/>
      <c r="G22" s="42"/>
      <c r="H22" s="42"/>
      <c r="I22" s="42"/>
      <c r="J22" s="42"/>
      <c r="K22" s="42"/>
      <c r="L22" s="42"/>
      <c r="M22" s="42"/>
      <c r="N22" s="42"/>
      <c r="O22" s="42"/>
      <c r="P22" s="42"/>
    </row>
    <row r="23" spans="1:16">
      <c r="A23" s="42" t="s">
        <v>16</v>
      </c>
      <c r="B23" s="42" t="s">
        <v>17</v>
      </c>
      <c r="C23" s="42"/>
      <c r="D23" s="42"/>
      <c r="E23" s="42"/>
      <c r="F23" s="42"/>
      <c r="G23" s="42"/>
      <c r="H23" s="42"/>
      <c r="I23" s="42"/>
      <c r="J23" s="42"/>
      <c r="K23" s="42"/>
      <c r="L23" s="42"/>
      <c r="M23" s="42"/>
      <c r="N23" s="42"/>
      <c r="O23" s="42"/>
      <c r="P23" s="42"/>
    </row>
    <row r="24" spans="1:16" ht="15.75">
      <c r="A24" s="42" t="s">
        <v>18</v>
      </c>
      <c r="B24" s="44" t="s">
        <v>37</v>
      </c>
      <c r="C24" s="42"/>
      <c r="D24" s="42"/>
      <c r="E24" s="42" t="s">
        <v>197</v>
      </c>
      <c r="F24" s="42"/>
      <c r="G24" s="42"/>
      <c r="H24" s="42"/>
      <c r="I24" s="42"/>
      <c r="J24" s="42"/>
      <c r="K24" s="42"/>
      <c r="L24" s="42"/>
      <c r="M24" s="42"/>
      <c r="N24" s="42"/>
      <c r="O24" s="42"/>
      <c r="P24" s="42"/>
    </row>
    <row r="25" spans="1:16" ht="15.75">
      <c r="A25" s="45" t="s">
        <v>19</v>
      </c>
      <c r="B25" s="42"/>
      <c r="C25" s="42"/>
      <c r="D25" s="42"/>
      <c r="E25" s="42"/>
      <c r="F25" s="42"/>
      <c r="G25" s="42"/>
      <c r="H25" s="42"/>
      <c r="I25" s="42"/>
      <c r="J25" s="42"/>
      <c r="K25" s="42"/>
      <c r="L25" s="42"/>
      <c r="M25" s="42"/>
      <c r="N25" s="42"/>
      <c r="O25" s="42"/>
      <c r="P25" s="42"/>
    </row>
    <row r="26" spans="1:16" ht="15.75">
      <c r="A26" s="45" t="s">
        <v>20</v>
      </c>
      <c r="B26" s="45" t="s">
        <v>21</v>
      </c>
      <c r="C26" s="45" t="s">
        <v>198</v>
      </c>
      <c r="D26" s="45" t="s">
        <v>18</v>
      </c>
      <c r="E26" s="45" t="s">
        <v>22</v>
      </c>
      <c r="F26" s="45" t="s">
        <v>7</v>
      </c>
      <c r="G26" s="45" t="s">
        <v>13</v>
      </c>
      <c r="H26" s="45" t="s">
        <v>16</v>
      </c>
      <c r="I26" s="45" t="s">
        <v>23</v>
      </c>
      <c r="J26" s="45" t="s">
        <v>24</v>
      </c>
      <c r="K26" s="45" t="s">
        <v>25</v>
      </c>
      <c r="L26" s="45" t="s">
        <v>26</v>
      </c>
      <c r="M26" s="45" t="s">
        <v>27</v>
      </c>
      <c r="N26" s="45" t="s">
        <v>28</v>
      </c>
      <c r="O26" s="45" t="s">
        <v>11</v>
      </c>
      <c r="P26" s="45" t="s">
        <v>199</v>
      </c>
    </row>
    <row r="27" spans="1:16" ht="15.75">
      <c r="A27" s="44" t="str">
        <f>B17</f>
        <v>treatment of copper, H2 plant construction EoL, PEMFC-bat</v>
      </c>
      <c r="B27" s="44">
        <v>1</v>
      </c>
      <c r="C27" s="44"/>
      <c r="D27" s="44" t="s">
        <v>37</v>
      </c>
      <c r="E27" s="42" t="s">
        <v>2</v>
      </c>
      <c r="F27" s="42" t="s">
        <v>1674</v>
      </c>
      <c r="G27" s="44" t="s">
        <v>58</v>
      </c>
      <c r="H27" s="42" t="s">
        <v>30</v>
      </c>
      <c r="I27" s="42">
        <v>0</v>
      </c>
      <c r="J27" s="44" t="s">
        <v>31</v>
      </c>
      <c r="K27" s="44" t="s">
        <v>31</v>
      </c>
      <c r="L27" s="44" t="s">
        <v>31</v>
      </c>
      <c r="M27" s="44" t="s">
        <v>31</v>
      </c>
      <c r="N27" s="44" t="s">
        <v>31</v>
      </c>
      <c r="O27" s="44" t="s">
        <v>1469</v>
      </c>
      <c r="P27" s="42"/>
    </row>
    <row r="28" spans="1:16" ht="15.75">
      <c r="A28" t="s">
        <v>424</v>
      </c>
      <c r="B28" s="48">
        <f>B27</f>
        <v>1</v>
      </c>
      <c r="C28" t="s">
        <v>425</v>
      </c>
      <c r="D28" t="s">
        <v>37</v>
      </c>
      <c r="E28" s="46" t="s">
        <v>40</v>
      </c>
      <c r="F28" s="42" t="s">
        <v>1674</v>
      </c>
      <c r="G28" t="s">
        <v>128</v>
      </c>
      <c r="H28" t="s">
        <v>33</v>
      </c>
      <c r="I28" s="42">
        <v>0</v>
      </c>
      <c r="J28" s="44" t="s">
        <v>31</v>
      </c>
      <c r="K28" s="44" t="s">
        <v>31</v>
      </c>
      <c r="L28" s="44" t="s">
        <v>31</v>
      </c>
      <c r="M28" s="44" t="s">
        <v>31</v>
      </c>
      <c r="N28" s="44" t="s">
        <v>31</v>
      </c>
    </row>
    <row r="29" spans="1:16" ht="15.75">
      <c r="A29" t="s">
        <v>1302</v>
      </c>
      <c r="B29">
        <f>0.9*B28</f>
        <v>0.9</v>
      </c>
      <c r="D29" t="s">
        <v>37</v>
      </c>
      <c r="E29" s="46" t="s">
        <v>40</v>
      </c>
      <c r="F29" s="42" t="s">
        <v>1674</v>
      </c>
      <c r="G29" t="s">
        <v>58</v>
      </c>
      <c r="H29" t="s">
        <v>243</v>
      </c>
      <c r="I29" s="42">
        <v>0</v>
      </c>
      <c r="J29" s="44" t="s">
        <v>31</v>
      </c>
      <c r="K29" s="44" t="s">
        <v>31</v>
      </c>
      <c r="L29" s="44" t="s">
        <v>31</v>
      </c>
      <c r="M29" s="44" t="s">
        <v>31</v>
      </c>
      <c r="N29" s="44" t="s">
        <v>31</v>
      </c>
      <c r="O29" s="42" t="s">
        <v>1301</v>
      </c>
    </row>
    <row r="30" spans="1:16" ht="15.75">
      <c r="A30" t="s">
        <v>380</v>
      </c>
      <c r="B30" s="23">
        <f>-(1-B29)</f>
        <v>-9.9999999999999978E-2</v>
      </c>
      <c r="D30" t="s">
        <v>37</v>
      </c>
      <c r="E30" s="47" t="s">
        <v>40</v>
      </c>
      <c r="F30" s="42" t="s">
        <v>1674</v>
      </c>
      <c r="G30" t="s">
        <v>58</v>
      </c>
      <c r="H30" t="s">
        <v>33</v>
      </c>
      <c r="I30">
        <v>0</v>
      </c>
      <c r="J30" t="s">
        <v>31</v>
      </c>
      <c r="K30" t="s">
        <v>31</v>
      </c>
      <c r="L30" t="s">
        <v>31</v>
      </c>
      <c r="M30" t="s">
        <v>31</v>
      </c>
      <c r="N30" t="s">
        <v>31</v>
      </c>
      <c r="O30" s="17"/>
      <c r="P30" s="42"/>
    </row>
    <row r="31" spans="1:16" s="41" customFormat="1" ht="15.75">
      <c r="A31" s="38" t="s">
        <v>5</v>
      </c>
      <c r="B31" s="38" t="s">
        <v>1677</v>
      </c>
      <c r="C31" s="38"/>
      <c r="D31" s="39"/>
      <c r="E31" s="40"/>
      <c r="F31" s="40"/>
      <c r="G31" s="40"/>
      <c r="H31" s="40"/>
      <c r="I31" s="40"/>
      <c r="J31" s="40"/>
      <c r="K31" s="40"/>
      <c r="L31" s="40"/>
      <c r="M31" s="40"/>
      <c r="N31" s="40"/>
      <c r="O31" s="40"/>
      <c r="P31" s="40"/>
    </row>
    <row r="32" spans="1:16">
      <c r="A32" s="42" t="s">
        <v>7</v>
      </c>
      <c r="B32" s="42" t="s">
        <v>1349</v>
      </c>
      <c r="C32" s="42"/>
      <c r="D32" s="42"/>
      <c r="E32" s="42"/>
      <c r="F32" s="42"/>
      <c r="G32" s="42"/>
      <c r="H32" s="42"/>
      <c r="I32" s="42"/>
      <c r="J32" s="42"/>
      <c r="K32" s="42"/>
      <c r="L32" s="42"/>
      <c r="M32" s="42"/>
      <c r="N32" s="42"/>
      <c r="O32" s="42"/>
      <c r="P32" s="42"/>
    </row>
    <row r="33" spans="1:16">
      <c r="A33" s="42" t="s">
        <v>9</v>
      </c>
      <c r="B33" s="43" t="s">
        <v>1678</v>
      </c>
      <c r="C33" s="42"/>
      <c r="D33" s="42"/>
      <c r="E33" s="42"/>
      <c r="F33" s="42"/>
      <c r="G33" s="42"/>
      <c r="H33" s="42"/>
      <c r="I33" s="42"/>
      <c r="J33" s="42"/>
      <c r="K33" s="42"/>
      <c r="L33" s="42"/>
      <c r="M33" s="42"/>
      <c r="N33" s="42"/>
      <c r="O33" s="42"/>
      <c r="P33" s="42"/>
    </row>
    <row r="34" spans="1:16">
      <c r="A34" s="42" t="s">
        <v>11</v>
      </c>
      <c r="B34" s="42" t="s">
        <v>1673</v>
      </c>
      <c r="C34" s="42"/>
      <c r="D34" s="42"/>
      <c r="E34" s="42"/>
      <c r="F34" s="42"/>
      <c r="G34" s="42"/>
      <c r="H34" s="42"/>
      <c r="I34" s="42"/>
      <c r="J34" s="42"/>
      <c r="K34" s="42"/>
      <c r="L34" s="42"/>
      <c r="M34" s="42"/>
      <c r="N34" s="42"/>
      <c r="O34" s="42"/>
      <c r="P34" s="42"/>
    </row>
    <row r="35" spans="1:16">
      <c r="A35" s="42" t="s">
        <v>13</v>
      </c>
      <c r="B35" s="42" t="s">
        <v>58</v>
      </c>
      <c r="C35" s="42"/>
      <c r="D35" s="42"/>
      <c r="E35" s="42"/>
      <c r="F35" s="42"/>
      <c r="G35" s="42"/>
      <c r="H35" s="42"/>
      <c r="I35" s="42"/>
      <c r="J35" s="42"/>
      <c r="K35" s="42"/>
      <c r="L35" s="42"/>
      <c r="M35" s="42"/>
      <c r="N35" s="42"/>
      <c r="O35" s="42"/>
      <c r="P35" s="42"/>
    </row>
    <row r="36" spans="1:16">
      <c r="A36" s="42" t="s">
        <v>15</v>
      </c>
      <c r="B36" s="42">
        <v>1</v>
      </c>
      <c r="C36" s="42"/>
      <c r="D36" s="42"/>
      <c r="E36" s="42"/>
      <c r="F36" s="42"/>
      <c r="G36" s="42"/>
      <c r="H36" s="42"/>
      <c r="I36" s="42"/>
      <c r="J36" s="42"/>
      <c r="K36" s="42"/>
      <c r="L36" s="42"/>
      <c r="M36" s="42"/>
      <c r="N36" s="42"/>
      <c r="O36" s="42"/>
      <c r="P36" s="42"/>
    </row>
    <row r="37" spans="1:16">
      <c r="A37" s="42" t="s">
        <v>16</v>
      </c>
      <c r="B37" s="42" t="s">
        <v>17</v>
      </c>
      <c r="C37" s="42"/>
      <c r="D37" s="42"/>
      <c r="E37" s="42"/>
      <c r="F37" s="42"/>
      <c r="G37" s="42"/>
      <c r="H37" s="42"/>
      <c r="I37" s="42"/>
      <c r="J37" s="42"/>
      <c r="K37" s="42"/>
      <c r="L37" s="42"/>
      <c r="M37" s="42"/>
      <c r="N37" s="42"/>
      <c r="O37" s="42"/>
      <c r="P37" s="42"/>
    </row>
    <row r="38" spans="1:16" ht="15.75">
      <c r="A38" s="42" t="s">
        <v>18</v>
      </c>
      <c r="B38" s="44" t="s">
        <v>37</v>
      </c>
      <c r="C38" s="42"/>
      <c r="D38" s="42"/>
      <c r="E38" s="42" t="s">
        <v>197</v>
      </c>
      <c r="F38" s="42"/>
      <c r="G38" s="42"/>
      <c r="H38" s="42"/>
      <c r="I38" s="42"/>
      <c r="J38" s="42"/>
      <c r="K38" s="42"/>
      <c r="L38" s="42"/>
      <c r="M38" s="42"/>
      <c r="N38" s="42"/>
      <c r="O38" s="42"/>
      <c r="P38" s="42"/>
    </row>
    <row r="39" spans="1:16" ht="15.75">
      <c r="A39" s="45" t="s">
        <v>19</v>
      </c>
      <c r="B39" s="42"/>
      <c r="C39" s="42"/>
      <c r="D39" s="42"/>
      <c r="E39" s="42"/>
      <c r="F39" s="42"/>
      <c r="G39" s="42"/>
      <c r="H39" s="42"/>
      <c r="I39" s="42"/>
      <c r="J39" s="42"/>
      <c r="K39" s="42"/>
      <c r="L39" s="42"/>
      <c r="M39" s="42"/>
      <c r="N39" s="42"/>
      <c r="O39" s="42"/>
      <c r="P39" s="42"/>
    </row>
    <row r="40" spans="1:16" ht="15.75">
      <c r="A40" s="45" t="s">
        <v>20</v>
      </c>
      <c r="B40" s="45" t="s">
        <v>21</v>
      </c>
      <c r="C40" s="45" t="s">
        <v>198</v>
      </c>
      <c r="D40" s="45" t="s">
        <v>18</v>
      </c>
      <c r="E40" s="45" t="s">
        <v>22</v>
      </c>
      <c r="F40" s="45" t="s">
        <v>7</v>
      </c>
      <c r="G40" s="45" t="s">
        <v>13</v>
      </c>
      <c r="H40" s="45" t="s">
        <v>16</v>
      </c>
      <c r="I40" s="45" t="s">
        <v>23</v>
      </c>
      <c r="J40" s="45" t="s">
        <v>24</v>
      </c>
      <c r="K40" s="45" t="s">
        <v>25</v>
      </c>
      <c r="L40" s="45" t="s">
        <v>26</v>
      </c>
      <c r="M40" s="45" t="s">
        <v>27</v>
      </c>
      <c r="N40" s="45" t="s">
        <v>28</v>
      </c>
      <c r="O40" s="45" t="s">
        <v>11</v>
      </c>
      <c r="P40" s="45" t="s">
        <v>199</v>
      </c>
    </row>
    <row r="41" spans="1:16" ht="15.75">
      <c r="A41" s="44" t="str">
        <f>B31</f>
        <v>treatment of steel, H2 plant construction EoL, PEMFC-bat</v>
      </c>
      <c r="B41" s="44">
        <v>1</v>
      </c>
      <c r="C41" s="44"/>
      <c r="D41" s="44" t="s">
        <v>37</v>
      </c>
      <c r="E41" s="42" t="s">
        <v>2</v>
      </c>
      <c r="F41" s="42" t="s">
        <v>1674</v>
      </c>
      <c r="G41" s="44" t="s">
        <v>58</v>
      </c>
      <c r="H41" s="42" t="s">
        <v>30</v>
      </c>
      <c r="I41" s="42">
        <v>0</v>
      </c>
      <c r="J41" s="44" t="s">
        <v>31</v>
      </c>
      <c r="K41" s="44" t="s">
        <v>31</v>
      </c>
      <c r="L41" s="44" t="s">
        <v>31</v>
      </c>
      <c r="M41" s="44" t="s">
        <v>31</v>
      </c>
      <c r="N41" s="44" t="s">
        <v>31</v>
      </c>
      <c r="O41" s="44" t="s">
        <v>1419</v>
      </c>
      <c r="P41" s="42"/>
    </row>
    <row r="42" spans="1:16" ht="15.75">
      <c r="A42" t="s">
        <v>240</v>
      </c>
      <c r="B42" s="23">
        <v>0.85</v>
      </c>
      <c r="C42" s="44"/>
      <c r="D42" s="44" t="s">
        <v>37</v>
      </c>
      <c r="E42" s="47" t="s">
        <v>40</v>
      </c>
      <c r="F42" s="42" t="s">
        <v>1674</v>
      </c>
      <c r="G42" s="44" t="s">
        <v>128</v>
      </c>
      <c r="H42" s="42" t="s">
        <v>33</v>
      </c>
      <c r="I42" s="42">
        <v>0</v>
      </c>
      <c r="J42" s="44" t="s">
        <v>31</v>
      </c>
      <c r="K42" s="44" t="s">
        <v>31</v>
      </c>
      <c r="L42" s="44" t="s">
        <v>31</v>
      </c>
      <c r="M42" s="44" t="s">
        <v>31</v>
      </c>
      <c r="N42" s="44" t="s">
        <v>31</v>
      </c>
      <c r="O42" s="42"/>
      <c r="P42" s="42"/>
    </row>
    <row r="43" spans="1:16" ht="15.75">
      <c r="A43" t="s">
        <v>704</v>
      </c>
      <c r="B43" s="23">
        <f>0.9*B42</f>
        <v>0.76500000000000001</v>
      </c>
      <c r="C43" s="44"/>
      <c r="D43" s="44" t="s">
        <v>37</v>
      </c>
      <c r="E43" s="47" t="s">
        <v>40</v>
      </c>
      <c r="F43" s="42" t="s">
        <v>1674</v>
      </c>
      <c r="G43" s="44" t="s">
        <v>58</v>
      </c>
      <c r="H43" s="42" t="s">
        <v>243</v>
      </c>
      <c r="I43" s="42">
        <v>0</v>
      </c>
      <c r="J43" s="44" t="s">
        <v>31</v>
      </c>
      <c r="K43" s="44" t="s">
        <v>31</v>
      </c>
      <c r="L43" s="44" t="s">
        <v>31</v>
      </c>
      <c r="M43" s="44" t="s">
        <v>31</v>
      </c>
      <c r="N43" s="44" t="s">
        <v>31</v>
      </c>
      <c r="O43" s="42"/>
      <c r="P43" s="42" t="s">
        <v>1301</v>
      </c>
    </row>
    <row r="44" spans="1:16" ht="16.5" customHeight="1">
      <c r="A44" t="s">
        <v>380</v>
      </c>
      <c r="B44" s="23">
        <f>-(1-B43)</f>
        <v>-0.23499999999999999</v>
      </c>
      <c r="D44" t="s">
        <v>37</v>
      </c>
      <c r="E44" s="47" t="s">
        <v>40</v>
      </c>
      <c r="F44" s="42" t="s">
        <v>1674</v>
      </c>
      <c r="G44" t="s">
        <v>58</v>
      </c>
      <c r="H44" t="s">
        <v>33</v>
      </c>
      <c r="I44">
        <v>0</v>
      </c>
      <c r="J44" t="s">
        <v>31</v>
      </c>
      <c r="K44" t="s">
        <v>31</v>
      </c>
      <c r="L44" t="s">
        <v>31</v>
      </c>
      <c r="M44" t="s">
        <v>31</v>
      </c>
      <c r="N44" t="s">
        <v>31</v>
      </c>
      <c r="O44" s="17"/>
      <c r="P44" s="42" t="s">
        <v>1399</v>
      </c>
    </row>
    <row r="45" spans="1:16" s="41" customFormat="1" ht="15.75">
      <c r="A45" s="38" t="s">
        <v>5</v>
      </c>
      <c r="B45" s="38" t="s">
        <v>1679</v>
      </c>
      <c r="C45" s="38"/>
      <c r="D45" s="39"/>
      <c r="E45" s="40"/>
      <c r="F45" s="40"/>
      <c r="G45" s="40"/>
      <c r="H45" s="40"/>
      <c r="I45" s="40"/>
      <c r="J45" s="40"/>
      <c r="K45" s="40"/>
      <c r="L45" s="40"/>
      <c r="M45" s="40"/>
      <c r="N45" s="40"/>
      <c r="O45" s="40"/>
      <c r="P45" s="40"/>
    </row>
    <row r="46" spans="1:16">
      <c r="A46" s="42" t="s">
        <v>7</v>
      </c>
      <c r="B46" s="42" t="s">
        <v>1349</v>
      </c>
      <c r="C46" s="42"/>
      <c r="D46" s="42"/>
      <c r="E46" s="42"/>
      <c r="F46" s="42"/>
      <c r="G46" s="42"/>
      <c r="H46" s="42"/>
      <c r="I46" s="42"/>
      <c r="J46" s="42"/>
      <c r="K46" s="42"/>
      <c r="L46" s="42"/>
      <c r="M46" s="42"/>
      <c r="N46" s="42"/>
      <c r="O46" s="42"/>
      <c r="P46" s="42"/>
    </row>
    <row r="47" spans="1:16">
      <c r="A47" s="42" t="s">
        <v>9</v>
      </c>
      <c r="B47" s="43" t="s">
        <v>1680</v>
      </c>
      <c r="C47" s="42"/>
      <c r="D47" s="42"/>
      <c r="E47" s="42"/>
      <c r="F47" s="42"/>
      <c r="G47" s="42"/>
      <c r="H47" s="42"/>
      <c r="I47" s="42"/>
      <c r="J47" s="42"/>
      <c r="K47" s="42"/>
      <c r="L47" s="42"/>
      <c r="M47" s="42"/>
      <c r="N47" s="42"/>
      <c r="O47" s="42"/>
      <c r="P47" s="42"/>
    </row>
    <row r="48" spans="1:16">
      <c r="A48" s="42" t="s">
        <v>11</v>
      </c>
      <c r="B48" s="42" t="s">
        <v>1681</v>
      </c>
      <c r="C48" s="42"/>
      <c r="D48" s="42"/>
      <c r="E48" s="42"/>
      <c r="F48" s="42"/>
      <c r="G48" s="42"/>
      <c r="H48" s="42"/>
      <c r="I48" s="42"/>
      <c r="J48" s="42"/>
      <c r="K48" s="42"/>
      <c r="L48" s="42"/>
      <c r="M48" s="42"/>
      <c r="N48" s="42"/>
      <c r="O48" s="42"/>
      <c r="P48" s="42"/>
    </row>
    <row r="49" spans="1:16">
      <c r="A49" s="42" t="s">
        <v>13</v>
      </c>
      <c r="B49" s="42" t="s">
        <v>58</v>
      </c>
      <c r="C49" s="42"/>
      <c r="D49" s="42"/>
      <c r="E49" s="42"/>
      <c r="F49" s="42"/>
      <c r="G49" s="42"/>
      <c r="H49" s="42"/>
      <c r="I49" s="42"/>
      <c r="J49" s="42"/>
      <c r="K49" s="42"/>
      <c r="L49" s="42"/>
      <c r="M49" s="42"/>
      <c r="N49" s="42"/>
      <c r="O49" s="42"/>
      <c r="P49" s="42"/>
    </row>
    <row r="50" spans="1:16">
      <c r="A50" s="42" t="s">
        <v>15</v>
      </c>
      <c r="B50" s="42">
        <v>1</v>
      </c>
      <c r="C50" s="42"/>
      <c r="D50" s="42"/>
      <c r="E50" s="42"/>
      <c r="F50" s="42"/>
      <c r="G50" s="42"/>
      <c r="H50" s="42"/>
      <c r="I50" s="42"/>
      <c r="J50" s="42"/>
      <c r="K50" s="42"/>
      <c r="L50" s="42"/>
      <c r="M50" s="42"/>
      <c r="N50" s="42"/>
      <c r="O50" s="42"/>
      <c r="P50" s="42"/>
    </row>
    <row r="51" spans="1:16">
      <c r="A51" s="42" t="s">
        <v>16</v>
      </c>
      <c r="B51" s="42" t="s">
        <v>17</v>
      </c>
      <c r="C51" s="42"/>
      <c r="D51" s="42"/>
      <c r="E51" s="42"/>
      <c r="F51" s="42"/>
      <c r="G51" s="42"/>
      <c r="H51" s="42"/>
      <c r="I51" s="42"/>
      <c r="J51" s="42"/>
      <c r="K51" s="42"/>
      <c r="L51" s="42"/>
      <c r="M51" s="42"/>
      <c r="N51" s="42"/>
      <c r="O51" s="42"/>
      <c r="P51" s="42"/>
    </row>
    <row r="52" spans="1:16" ht="15.75">
      <c r="A52" s="42" t="s">
        <v>18</v>
      </c>
      <c r="B52" s="44" t="s">
        <v>37</v>
      </c>
      <c r="C52" s="42"/>
      <c r="D52" s="42"/>
      <c r="E52" s="42" t="s">
        <v>197</v>
      </c>
      <c r="F52" s="42"/>
      <c r="G52" s="42"/>
      <c r="H52" s="42"/>
      <c r="I52" s="42"/>
      <c r="J52" s="42"/>
      <c r="K52" s="42"/>
      <c r="L52" s="42"/>
      <c r="M52" s="42"/>
      <c r="N52" s="42"/>
      <c r="O52" s="42"/>
      <c r="P52" s="42"/>
    </row>
    <row r="53" spans="1:16" ht="15.75">
      <c r="A53" s="45" t="s">
        <v>19</v>
      </c>
      <c r="B53" s="42"/>
      <c r="C53" s="42"/>
      <c r="D53" s="42"/>
      <c r="E53" s="42"/>
      <c r="F53" s="42"/>
      <c r="G53" s="42"/>
      <c r="H53" s="42"/>
      <c r="I53" s="42"/>
      <c r="J53" s="42"/>
      <c r="K53" s="42"/>
      <c r="L53" s="42"/>
      <c r="M53" s="42"/>
      <c r="N53" s="42"/>
      <c r="O53" s="42"/>
      <c r="P53" s="42"/>
    </row>
    <row r="54" spans="1:16" ht="15.75">
      <c r="A54" s="45" t="s">
        <v>20</v>
      </c>
      <c r="B54" s="45" t="s">
        <v>21</v>
      </c>
      <c r="C54" s="45" t="s">
        <v>198</v>
      </c>
      <c r="D54" s="45" t="s">
        <v>18</v>
      </c>
      <c r="E54" s="45" t="s">
        <v>22</v>
      </c>
      <c r="F54" s="45" t="s">
        <v>7</v>
      </c>
      <c r="G54" s="45" t="s">
        <v>13</v>
      </c>
      <c r="H54" s="45" t="s">
        <v>16</v>
      </c>
      <c r="I54" s="45" t="s">
        <v>23</v>
      </c>
      <c r="J54" s="45" t="s">
        <v>24</v>
      </c>
      <c r="K54" s="45" t="s">
        <v>25</v>
      </c>
      <c r="L54" s="45" t="s">
        <v>26</v>
      </c>
      <c r="M54" s="45" t="s">
        <v>27</v>
      </c>
      <c r="N54" s="45" t="s">
        <v>28</v>
      </c>
      <c r="O54" s="45" t="s">
        <v>11</v>
      </c>
      <c r="P54" s="45" t="s">
        <v>199</v>
      </c>
    </row>
    <row r="55" spans="1:16" ht="15.75">
      <c r="A55" s="44" t="str">
        <f>B45</f>
        <v>treatment of composites, H2 plant construction EoL, PEMFC-bat</v>
      </c>
      <c r="B55" s="44">
        <v>1</v>
      </c>
      <c r="C55" s="44"/>
      <c r="D55" s="44" t="s">
        <v>37</v>
      </c>
      <c r="E55" s="42" t="s">
        <v>2</v>
      </c>
      <c r="F55" s="42" t="s">
        <v>1674</v>
      </c>
      <c r="G55" s="44" t="s">
        <v>58</v>
      </c>
      <c r="H55" s="42" t="s">
        <v>30</v>
      </c>
      <c r="I55" s="42">
        <v>0</v>
      </c>
      <c r="J55" s="44" t="s">
        <v>31</v>
      </c>
      <c r="K55" s="44" t="s">
        <v>31</v>
      </c>
      <c r="L55" s="44" t="s">
        <v>31</v>
      </c>
      <c r="M55" s="44" t="s">
        <v>31</v>
      </c>
      <c r="N55" s="44" t="s">
        <v>31</v>
      </c>
      <c r="O55" s="44" t="s">
        <v>1416</v>
      </c>
      <c r="P55" s="42"/>
    </row>
    <row r="56" spans="1:16" ht="15.75">
      <c r="A56" s="47" t="s">
        <v>1475</v>
      </c>
      <c r="B56">
        <v>-1</v>
      </c>
      <c r="D56" s="44" t="s">
        <v>37</v>
      </c>
      <c r="E56" s="47" t="s">
        <v>40</v>
      </c>
      <c r="F56" s="42" t="s">
        <v>1674</v>
      </c>
      <c r="G56" t="s">
        <v>128</v>
      </c>
      <c r="H56" t="s">
        <v>33</v>
      </c>
      <c r="I56">
        <v>0</v>
      </c>
      <c r="J56" t="s">
        <v>31</v>
      </c>
      <c r="K56" t="s">
        <v>31</v>
      </c>
      <c r="L56" t="s">
        <v>31</v>
      </c>
      <c r="M56" t="s">
        <v>31</v>
      </c>
      <c r="N56" t="s">
        <v>31</v>
      </c>
    </row>
    <row r="57" spans="1:16" s="41" customFormat="1" ht="15.75">
      <c r="A57" s="38" t="s">
        <v>5</v>
      </c>
      <c r="B57" s="38" t="s">
        <v>1682</v>
      </c>
      <c r="C57" s="38"/>
      <c r="D57" s="39"/>
      <c r="E57" s="40"/>
      <c r="F57" s="40"/>
      <c r="G57" s="40"/>
      <c r="H57" s="40"/>
      <c r="I57" s="40"/>
      <c r="J57" s="40"/>
      <c r="K57" s="40"/>
      <c r="L57" s="40"/>
      <c r="M57" s="40"/>
      <c r="N57" s="40"/>
      <c r="O57" s="40"/>
      <c r="P57" s="40"/>
    </row>
    <row r="58" spans="1:16">
      <c r="A58" s="42" t="s">
        <v>7</v>
      </c>
      <c r="B58" s="42" t="s">
        <v>1349</v>
      </c>
      <c r="C58" s="42"/>
      <c r="D58" s="42"/>
      <c r="E58" s="42"/>
      <c r="F58" s="42"/>
      <c r="G58" s="42"/>
      <c r="H58" s="42"/>
      <c r="I58" s="42"/>
      <c r="J58" s="42"/>
      <c r="K58" s="42"/>
      <c r="L58" s="42"/>
      <c r="M58" s="42"/>
      <c r="N58" s="42"/>
      <c r="O58" s="42"/>
      <c r="P58" s="42"/>
    </row>
    <row r="59" spans="1:16">
      <c r="A59" s="42" t="s">
        <v>9</v>
      </c>
      <c r="B59" s="43" t="s">
        <v>1683</v>
      </c>
      <c r="C59" s="42"/>
      <c r="D59" s="42"/>
      <c r="E59" s="42"/>
      <c r="F59" s="42"/>
      <c r="G59" s="42"/>
      <c r="H59" s="42"/>
      <c r="I59" s="42"/>
      <c r="J59" s="42"/>
      <c r="K59" s="42"/>
      <c r="L59" s="42"/>
      <c r="M59" s="42"/>
      <c r="N59" s="42"/>
      <c r="O59" s="42"/>
      <c r="P59" s="42"/>
    </row>
    <row r="60" spans="1:16">
      <c r="A60" s="42" t="s">
        <v>11</v>
      </c>
      <c r="B60" s="42" t="s">
        <v>1681</v>
      </c>
      <c r="C60" s="42"/>
      <c r="D60" s="42"/>
      <c r="E60" s="42"/>
      <c r="F60" s="42"/>
      <c r="G60" s="42"/>
      <c r="H60" s="42"/>
      <c r="I60" s="42"/>
      <c r="J60" s="42"/>
      <c r="K60" s="42"/>
      <c r="L60" s="42"/>
      <c r="M60" s="42"/>
      <c r="N60" s="42"/>
      <c r="O60" s="42"/>
      <c r="P60" s="42"/>
    </row>
    <row r="61" spans="1:16">
      <c r="A61" s="42" t="s">
        <v>13</v>
      </c>
      <c r="B61" s="42" t="s">
        <v>58</v>
      </c>
      <c r="C61" s="42"/>
      <c r="D61" s="42"/>
      <c r="E61" s="42"/>
      <c r="F61" s="42"/>
      <c r="G61" s="42"/>
      <c r="H61" s="42"/>
      <c r="I61" s="42"/>
      <c r="J61" s="42"/>
      <c r="K61" s="42"/>
      <c r="L61" s="42"/>
      <c r="M61" s="42"/>
      <c r="N61" s="42"/>
      <c r="O61" s="42"/>
      <c r="P61" s="42"/>
    </row>
    <row r="62" spans="1:16">
      <c r="A62" s="42" t="s">
        <v>15</v>
      </c>
      <c r="B62" s="42">
        <v>1</v>
      </c>
      <c r="C62" s="42"/>
      <c r="D62" s="42"/>
      <c r="E62" s="42"/>
      <c r="F62" s="42"/>
      <c r="G62" s="42"/>
      <c r="H62" s="42"/>
      <c r="I62" s="42"/>
      <c r="J62" s="42"/>
      <c r="K62" s="42"/>
      <c r="L62" s="42"/>
      <c r="M62" s="42"/>
      <c r="N62" s="42"/>
      <c r="O62" s="42"/>
      <c r="P62" s="42"/>
    </row>
    <row r="63" spans="1:16">
      <c r="A63" s="42" t="s">
        <v>16</v>
      </c>
      <c r="B63" s="42" t="s">
        <v>17</v>
      </c>
      <c r="C63" s="42"/>
      <c r="D63" s="42"/>
      <c r="E63" s="42"/>
      <c r="F63" s="42"/>
      <c r="G63" s="42"/>
      <c r="H63" s="42"/>
      <c r="I63" s="42"/>
      <c r="J63" s="42"/>
      <c r="K63" s="42"/>
      <c r="L63" s="42"/>
      <c r="M63" s="42"/>
      <c r="N63" s="42"/>
      <c r="O63" s="42"/>
      <c r="P63" s="42"/>
    </row>
    <row r="64" spans="1:16" ht="15.75">
      <c r="A64" s="42" t="s">
        <v>18</v>
      </c>
      <c r="B64" s="44" t="s">
        <v>37</v>
      </c>
      <c r="C64" s="42"/>
      <c r="D64" s="42"/>
      <c r="E64" s="42" t="s">
        <v>197</v>
      </c>
      <c r="F64" s="42"/>
      <c r="G64" s="42"/>
      <c r="H64" s="42"/>
      <c r="I64" s="42"/>
      <c r="J64" s="42"/>
      <c r="K64" s="42"/>
      <c r="L64" s="42"/>
      <c r="M64" s="42"/>
      <c r="N64" s="42"/>
      <c r="O64" s="42"/>
      <c r="P64" s="42"/>
    </row>
    <row r="65" spans="1:16" ht="15.75">
      <c r="A65" s="45" t="s">
        <v>19</v>
      </c>
      <c r="B65" s="42"/>
      <c r="C65" s="42"/>
      <c r="D65" s="42"/>
      <c r="E65" s="42"/>
      <c r="F65" s="42"/>
      <c r="G65" s="42"/>
      <c r="H65" s="42"/>
      <c r="I65" s="42"/>
      <c r="J65" s="42"/>
      <c r="K65" s="42"/>
      <c r="L65" s="42"/>
      <c r="M65" s="42"/>
      <c r="N65" s="42"/>
      <c r="O65" s="42"/>
      <c r="P65" s="42"/>
    </row>
    <row r="66" spans="1:16" ht="15.75">
      <c r="A66" s="45" t="s">
        <v>20</v>
      </c>
      <c r="B66" s="45" t="s">
        <v>21</v>
      </c>
      <c r="C66" s="45" t="s">
        <v>198</v>
      </c>
      <c r="D66" s="45" t="s">
        <v>18</v>
      </c>
      <c r="E66" s="45" t="s">
        <v>22</v>
      </c>
      <c r="F66" s="45" t="s">
        <v>7</v>
      </c>
      <c r="G66" s="45" t="s">
        <v>13</v>
      </c>
      <c r="H66" s="45" t="s">
        <v>16</v>
      </c>
      <c r="I66" s="45" t="s">
        <v>23</v>
      </c>
      <c r="J66" s="45" t="s">
        <v>24</v>
      </c>
      <c r="K66" s="45" t="s">
        <v>25</v>
      </c>
      <c r="L66" s="45" t="s">
        <v>26</v>
      </c>
      <c r="M66" s="45" t="s">
        <v>27</v>
      </c>
      <c r="N66" s="45" t="s">
        <v>28</v>
      </c>
      <c r="O66" s="45" t="s">
        <v>11</v>
      </c>
      <c r="P66" s="45" t="s">
        <v>199</v>
      </c>
    </row>
    <row r="67" spans="1:16" ht="15.75">
      <c r="A67" s="44" t="str">
        <f>B57</f>
        <v>treatment of graphite and resin, H2 plant construction EoL</v>
      </c>
      <c r="B67" s="44">
        <v>1</v>
      </c>
      <c r="C67" s="44"/>
      <c r="D67" s="44" t="s">
        <v>37</v>
      </c>
      <c r="E67" s="42" t="s">
        <v>2</v>
      </c>
      <c r="F67" s="42" t="s">
        <v>1674</v>
      </c>
      <c r="G67" s="44" t="s">
        <v>58</v>
      </c>
      <c r="H67" s="42" t="s">
        <v>30</v>
      </c>
      <c r="I67" s="42">
        <v>0</v>
      </c>
      <c r="J67" s="44" t="s">
        <v>31</v>
      </c>
      <c r="K67" s="44" t="s">
        <v>31</v>
      </c>
      <c r="L67" s="44" t="s">
        <v>31</v>
      </c>
      <c r="M67" s="44" t="s">
        <v>31</v>
      </c>
      <c r="N67" s="44" t="s">
        <v>31</v>
      </c>
      <c r="O67" s="44" t="s">
        <v>1478</v>
      </c>
      <c r="P67" s="42"/>
    </row>
    <row r="68" spans="1:16" ht="15.75">
      <c r="A68" s="47" t="s">
        <v>1479</v>
      </c>
      <c r="B68">
        <v>-1</v>
      </c>
      <c r="D68" s="44" t="s">
        <v>37</v>
      </c>
      <c r="E68" s="42" t="s">
        <v>2</v>
      </c>
      <c r="F68" s="42" t="s">
        <v>1674</v>
      </c>
      <c r="G68" s="44" t="s">
        <v>128</v>
      </c>
      <c r="H68" s="42" t="s">
        <v>33</v>
      </c>
      <c r="I68" s="42">
        <v>0</v>
      </c>
      <c r="J68" s="44" t="s">
        <v>31</v>
      </c>
      <c r="K68" s="44" t="s">
        <v>31</v>
      </c>
      <c r="L68" s="44" t="s">
        <v>31</v>
      </c>
      <c r="M68" s="44" t="s">
        <v>31</v>
      </c>
      <c r="N68" s="44" t="s">
        <v>31</v>
      </c>
    </row>
    <row r="69" spans="1:16" s="41" customFormat="1" ht="15.75">
      <c r="A69" s="38" t="s">
        <v>5</v>
      </c>
      <c r="B69" s="38" t="s">
        <v>1684</v>
      </c>
      <c r="C69" s="38"/>
      <c r="D69" s="39"/>
      <c r="E69" s="40"/>
      <c r="F69" s="40"/>
      <c r="G69" s="40"/>
      <c r="H69" s="40"/>
      <c r="I69" s="40"/>
      <c r="J69" s="40"/>
      <c r="K69" s="40"/>
      <c r="L69" s="40"/>
      <c r="M69" s="40"/>
      <c r="N69" s="40"/>
      <c r="O69" s="40"/>
      <c r="P69" s="40"/>
    </row>
    <row r="70" spans="1:16">
      <c r="A70" s="42" t="s">
        <v>7</v>
      </c>
      <c r="B70" s="42" t="s">
        <v>1349</v>
      </c>
      <c r="C70" s="42"/>
      <c r="D70" s="42"/>
      <c r="E70" s="42"/>
      <c r="F70" s="42"/>
      <c r="G70" s="42"/>
      <c r="H70" s="42"/>
      <c r="I70" s="42"/>
      <c r="J70" s="42"/>
      <c r="K70" s="42"/>
      <c r="L70" s="42"/>
      <c r="M70" s="42"/>
      <c r="N70" s="42"/>
      <c r="O70" s="42"/>
      <c r="P70" s="42"/>
    </row>
    <row r="71" spans="1:16">
      <c r="A71" s="42" t="s">
        <v>9</v>
      </c>
      <c r="B71" s="43" t="s">
        <v>1685</v>
      </c>
      <c r="C71" s="42"/>
      <c r="D71" s="42"/>
      <c r="E71" s="42"/>
      <c r="F71" s="42"/>
      <c r="G71" s="42"/>
      <c r="H71" s="42"/>
      <c r="I71" s="42"/>
      <c r="J71" s="42"/>
      <c r="K71" s="42"/>
      <c r="L71" s="42"/>
      <c r="M71" s="42"/>
      <c r="N71" s="42"/>
      <c r="O71" s="42"/>
      <c r="P71" s="42"/>
    </row>
    <row r="72" spans="1:16">
      <c r="A72" s="42" t="s">
        <v>11</v>
      </c>
      <c r="B72" s="42" t="s">
        <v>1681</v>
      </c>
      <c r="C72" s="42"/>
      <c r="D72" s="42"/>
      <c r="E72" s="42"/>
      <c r="F72" s="42"/>
      <c r="G72" s="42"/>
      <c r="H72" s="42"/>
      <c r="I72" s="42"/>
      <c r="J72" s="42"/>
      <c r="K72" s="42"/>
      <c r="L72" s="42"/>
      <c r="M72" s="42"/>
      <c r="N72" s="42"/>
      <c r="O72" s="42"/>
      <c r="P72" s="42"/>
    </row>
    <row r="73" spans="1:16">
      <c r="A73" s="42" t="s">
        <v>13</v>
      </c>
      <c r="B73" s="42" t="s">
        <v>58</v>
      </c>
      <c r="C73" s="42"/>
      <c r="D73" s="42"/>
      <c r="E73" s="42"/>
      <c r="F73" s="42"/>
      <c r="G73" s="42"/>
      <c r="H73" s="42"/>
      <c r="I73" s="42"/>
      <c r="J73" s="42"/>
      <c r="K73" s="42"/>
      <c r="L73" s="42"/>
      <c r="M73" s="42"/>
      <c r="N73" s="42"/>
      <c r="O73" s="42"/>
      <c r="P73" s="42"/>
    </row>
    <row r="74" spans="1:16">
      <c r="A74" s="42" t="s">
        <v>15</v>
      </c>
      <c r="B74" s="42">
        <v>1</v>
      </c>
      <c r="C74" s="42"/>
      <c r="D74" s="42"/>
      <c r="E74" s="42"/>
      <c r="F74" s="42"/>
      <c r="G74" s="42"/>
      <c r="H74" s="42"/>
      <c r="I74" s="42"/>
      <c r="J74" s="42"/>
      <c r="K74" s="42"/>
      <c r="L74" s="42"/>
      <c r="M74" s="42"/>
      <c r="N74" s="42"/>
      <c r="O74" s="42"/>
      <c r="P74" s="42"/>
    </row>
    <row r="75" spans="1:16">
      <c r="A75" s="42" t="s">
        <v>16</v>
      </c>
      <c r="B75" s="42" t="s">
        <v>17</v>
      </c>
      <c r="C75" s="42"/>
      <c r="D75" s="42"/>
      <c r="E75" s="42"/>
      <c r="F75" s="42"/>
      <c r="G75" s="42"/>
      <c r="H75" s="42"/>
      <c r="I75" s="42"/>
      <c r="J75" s="42"/>
      <c r="K75" s="42"/>
      <c r="L75" s="42"/>
      <c r="M75" s="42"/>
      <c r="N75" s="42"/>
      <c r="O75" s="42"/>
      <c r="P75" s="42"/>
    </row>
    <row r="76" spans="1:16" ht="15.75">
      <c r="A76" s="42" t="s">
        <v>18</v>
      </c>
      <c r="B76" s="44" t="s">
        <v>37</v>
      </c>
      <c r="C76" s="42"/>
      <c r="D76" s="42"/>
      <c r="E76" s="42" t="s">
        <v>197</v>
      </c>
      <c r="F76" s="42"/>
      <c r="G76" s="42"/>
      <c r="H76" s="42"/>
      <c r="I76" s="42"/>
      <c r="J76" s="42"/>
      <c r="K76" s="42"/>
      <c r="L76" s="42"/>
      <c r="M76" s="42"/>
      <c r="N76" s="42"/>
      <c r="O76" s="42"/>
      <c r="P76" s="42"/>
    </row>
    <row r="77" spans="1:16" ht="15.75">
      <c r="A77" s="45" t="s">
        <v>19</v>
      </c>
      <c r="B77" s="42"/>
      <c r="C77" s="42"/>
      <c r="D77" s="42"/>
      <c r="E77" s="42"/>
      <c r="F77" s="42"/>
      <c r="G77" s="42"/>
      <c r="H77" s="42"/>
      <c r="I77" s="42"/>
      <c r="J77" s="42"/>
      <c r="K77" s="42"/>
      <c r="L77" s="42"/>
      <c r="M77" s="42"/>
      <c r="N77" s="42"/>
      <c r="O77" s="42"/>
      <c r="P77" s="42"/>
    </row>
    <row r="78" spans="1:16" ht="15.75">
      <c r="A78" s="45" t="s">
        <v>20</v>
      </c>
      <c r="B78" s="45" t="s">
        <v>21</v>
      </c>
      <c r="C78" s="45" t="s">
        <v>198</v>
      </c>
      <c r="D78" s="45" t="s">
        <v>18</v>
      </c>
      <c r="E78" s="45" t="s">
        <v>22</v>
      </c>
      <c r="F78" s="45" t="s">
        <v>7</v>
      </c>
      <c r="G78" s="45" t="s">
        <v>13</v>
      </c>
      <c r="H78" s="45" t="s">
        <v>16</v>
      </c>
      <c r="I78" s="45" t="s">
        <v>23</v>
      </c>
      <c r="J78" s="45" t="s">
        <v>24</v>
      </c>
      <c r="K78" s="45" t="s">
        <v>25</v>
      </c>
      <c r="L78" s="45" t="s">
        <v>26</v>
      </c>
      <c r="M78" s="45" t="s">
        <v>27</v>
      </c>
      <c r="N78" s="45" t="s">
        <v>28</v>
      </c>
      <c r="O78" s="45" t="s">
        <v>11</v>
      </c>
      <c r="P78" s="45" t="s">
        <v>199</v>
      </c>
    </row>
    <row r="79" spans="1:16" ht="15.75">
      <c r="A79" s="44" t="str">
        <f>B69</f>
        <v>treatment of electronics, H2 plant construction EoL, PEMFC-bat</v>
      </c>
      <c r="B79" s="44">
        <v>1</v>
      </c>
      <c r="C79" s="44"/>
      <c r="D79" s="44" t="s">
        <v>37</v>
      </c>
      <c r="E79" s="42" t="s">
        <v>2</v>
      </c>
      <c r="F79" s="42" t="s">
        <v>1674</v>
      </c>
      <c r="G79" s="44" t="s">
        <v>58</v>
      </c>
      <c r="H79" s="42" t="s">
        <v>30</v>
      </c>
      <c r="I79" s="42">
        <v>0</v>
      </c>
      <c r="J79" s="44" t="s">
        <v>31</v>
      </c>
      <c r="K79" s="44" t="s">
        <v>31</v>
      </c>
      <c r="L79" s="44" t="s">
        <v>31</v>
      </c>
      <c r="M79" s="44" t="s">
        <v>31</v>
      </c>
      <c r="N79" s="44" t="s">
        <v>31</v>
      </c>
      <c r="O79" s="44" t="s">
        <v>1478</v>
      </c>
      <c r="P79" s="42"/>
    </row>
    <row r="80" spans="1:16" ht="15.75">
      <c r="A80" s="47" t="s">
        <v>369</v>
      </c>
      <c r="B80">
        <v>-1</v>
      </c>
      <c r="D80" s="44" t="s">
        <v>37</v>
      </c>
      <c r="E80" s="42" t="s">
        <v>2</v>
      </c>
      <c r="F80" s="42" t="s">
        <v>1674</v>
      </c>
      <c r="G80" s="44" t="s">
        <v>128</v>
      </c>
      <c r="H80" s="42" t="s">
        <v>33</v>
      </c>
      <c r="I80" s="42">
        <v>0</v>
      </c>
      <c r="J80" s="44" t="s">
        <v>31</v>
      </c>
      <c r="K80" s="44" t="s">
        <v>31</v>
      </c>
      <c r="L80" s="44" t="s">
        <v>31</v>
      </c>
      <c r="M80" s="44" t="s">
        <v>31</v>
      </c>
      <c r="N80" s="44" t="s">
        <v>31</v>
      </c>
    </row>
    <row r="81" spans="1:16" s="41" customFormat="1" ht="15.75">
      <c r="A81" s="38" t="s">
        <v>5</v>
      </c>
      <c r="B81" s="38" t="s">
        <v>1610</v>
      </c>
      <c r="C81" s="38"/>
      <c r="D81" s="39"/>
      <c r="E81" s="40"/>
      <c r="F81" s="40"/>
      <c r="G81" s="40"/>
      <c r="H81" s="40"/>
      <c r="I81" s="40"/>
      <c r="J81" s="40"/>
      <c r="K81" s="40"/>
      <c r="L81" s="40"/>
      <c r="M81" s="40"/>
      <c r="N81" s="40"/>
      <c r="O81" s="40"/>
      <c r="P81" s="40"/>
    </row>
    <row r="82" spans="1:16">
      <c r="A82" s="42" t="s">
        <v>7</v>
      </c>
      <c r="B82" s="42" t="s">
        <v>1349</v>
      </c>
      <c r="C82" s="42"/>
      <c r="D82" s="42"/>
      <c r="E82" s="42"/>
      <c r="F82" s="42"/>
      <c r="G82" s="42"/>
      <c r="H82" s="42"/>
      <c r="I82" s="42"/>
      <c r="J82" s="42"/>
      <c r="K82" s="42"/>
      <c r="L82" s="42"/>
      <c r="M82" s="42"/>
      <c r="N82" s="42"/>
      <c r="O82" s="42"/>
      <c r="P82" s="42"/>
    </row>
    <row r="83" spans="1:16">
      <c r="A83" s="42" t="s">
        <v>9</v>
      </c>
      <c r="B83" s="43" t="s">
        <v>1686</v>
      </c>
      <c r="C83" s="42"/>
      <c r="D83" s="42"/>
      <c r="E83" s="42"/>
      <c r="F83" s="42"/>
      <c r="G83" s="42"/>
      <c r="H83" s="42"/>
      <c r="I83" s="42"/>
      <c r="J83" s="42"/>
      <c r="K83" s="42"/>
      <c r="L83" s="42"/>
      <c r="M83" s="42"/>
      <c r="N83" s="42"/>
      <c r="O83" s="42"/>
      <c r="P83" s="42"/>
    </row>
    <row r="84" spans="1:16">
      <c r="A84" s="42" t="s">
        <v>11</v>
      </c>
      <c r="B84" s="42" t="s">
        <v>1681</v>
      </c>
      <c r="C84" s="42"/>
      <c r="D84" s="42"/>
      <c r="E84" s="42"/>
      <c r="F84" s="42"/>
      <c r="G84" s="42"/>
      <c r="H84" s="42"/>
      <c r="I84" s="42"/>
      <c r="J84" s="42"/>
      <c r="K84" s="42"/>
      <c r="L84" s="42"/>
      <c r="M84" s="42"/>
      <c r="N84" s="42"/>
      <c r="O84" s="42"/>
      <c r="P84" s="42"/>
    </row>
    <row r="85" spans="1:16">
      <c r="A85" s="42" t="s">
        <v>13</v>
      </c>
      <c r="B85" s="42" t="s">
        <v>58</v>
      </c>
      <c r="C85" s="42"/>
      <c r="D85" s="42"/>
      <c r="E85" s="42"/>
      <c r="F85" s="42"/>
      <c r="G85" s="42"/>
      <c r="H85" s="42"/>
      <c r="I85" s="42"/>
      <c r="J85" s="42"/>
      <c r="K85" s="42"/>
      <c r="L85" s="42"/>
      <c r="M85" s="42"/>
      <c r="N85" s="42"/>
      <c r="O85" s="42"/>
      <c r="P85" s="42"/>
    </row>
    <row r="86" spans="1:16">
      <c r="A86" s="42" t="s">
        <v>15</v>
      </c>
      <c r="B86" s="42">
        <v>1</v>
      </c>
      <c r="C86" s="42"/>
      <c r="D86" s="42"/>
      <c r="E86" s="42"/>
      <c r="F86" s="42"/>
      <c r="G86" s="42"/>
      <c r="H86" s="42"/>
      <c r="I86" s="42"/>
      <c r="J86" s="42"/>
      <c r="K86" s="42"/>
      <c r="L86" s="42"/>
      <c r="M86" s="42"/>
      <c r="N86" s="42"/>
      <c r="O86" s="42"/>
      <c r="P86" s="42"/>
    </row>
    <row r="87" spans="1:16">
      <c r="A87" s="42" t="s">
        <v>16</v>
      </c>
      <c r="B87" s="42" t="s">
        <v>17</v>
      </c>
      <c r="C87" s="42"/>
      <c r="D87" s="42"/>
      <c r="E87" s="42"/>
      <c r="F87" s="42"/>
      <c r="G87" s="42"/>
      <c r="H87" s="42"/>
      <c r="I87" s="42"/>
      <c r="J87" s="42"/>
      <c r="K87" s="42"/>
      <c r="L87" s="42"/>
      <c r="M87" s="42"/>
      <c r="N87" s="42"/>
      <c r="O87" s="42"/>
      <c r="P87" s="42"/>
    </row>
    <row r="88" spans="1:16" ht="15.75">
      <c r="A88" s="42" t="s">
        <v>18</v>
      </c>
      <c r="B88" s="44" t="s">
        <v>18</v>
      </c>
      <c r="C88" s="42"/>
      <c r="D88" s="42"/>
      <c r="E88" s="42" t="s">
        <v>197</v>
      </c>
      <c r="F88" s="42"/>
      <c r="G88" s="42"/>
      <c r="H88" s="42"/>
      <c r="I88" s="42"/>
      <c r="J88" s="42"/>
      <c r="K88" s="42"/>
      <c r="L88" s="42"/>
      <c r="M88" s="42"/>
      <c r="N88" s="42"/>
      <c r="O88" s="42"/>
      <c r="P88" s="42"/>
    </row>
    <row r="89" spans="1:16" ht="15.75">
      <c r="A89" s="45" t="s">
        <v>19</v>
      </c>
      <c r="B89" s="42"/>
      <c r="C89" s="42"/>
      <c r="D89" s="42"/>
      <c r="E89" s="42"/>
      <c r="F89" s="42"/>
      <c r="G89" s="42"/>
      <c r="H89" s="42"/>
      <c r="I89" s="42"/>
      <c r="J89" s="42"/>
      <c r="K89" s="42"/>
      <c r="L89" s="42"/>
      <c r="M89" s="42"/>
      <c r="N89" s="42"/>
      <c r="O89" s="42"/>
      <c r="P89" s="42"/>
    </row>
    <row r="90" spans="1:16" ht="15.75">
      <c r="A90" s="45" t="s">
        <v>20</v>
      </c>
      <c r="B90" s="45" t="s">
        <v>21</v>
      </c>
      <c r="C90" s="45" t="s">
        <v>198</v>
      </c>
      <c r="D90" s="45" t="s">
        <v>18</v>
      </c>
      <c r="E90" s="45" t="s">
        <v>22</v>
      </c>
      <c r="F90" s="45" t="s">
        <v>7</v>
      </c>
      <c r="G90" s="45" t="s">
        <v>13</v>
      </c>
      <c r="H90" s="45" t="s">
        <v>16</v>
      </c>
      <c r="I90" s="45" t="s">
        <v>23</v>
      </c>
      <c r="J90" s="45" t="s">
        <v>24</v>
      </c>
      <c r="K90" s="45" t="s">
        <v>25</v>
      </c>
      <c r="L90" s="45" t="s">
        <v>26</v>
      </c>
      <c r="M90" s="45" t="s">
        <v>27</v>
      </c>
      <c r="N90" s="45" t="s">
        <v>28</v>
      </c>
      <c r="O90" s="45" t="s">
        <v>11</v>
      </c>
      <c r="P90" s="45" t="s">
        <v>199</v>
      </c>
    </row>
    <row r="91" spans="1:16" ht="15.75">
      <c r="A91" s="44" t="str">
        <f>B81</f>
        <v>Electrolyser EoL, H2 plant construction EoL, PEMFC-bat</v>
      </c>
      <c r="B91" s="44">
        <v>1</v>
      </c>
      <c r="C91" s="44"/>
      <c r="D91" s="44" t="s">
        <v>18</v>
      </c>
      <c r="E91" s="42" t="s">
        <v>2</v>
      </c>
      <c r="F91" s="42" t="s">
        <v>1674</v>
      </c>
      <c r="G91" s="44" t="s">
        <v>58</v>
      </c>
      <c r="H91" s="42" t="s">
        <v>30</v>
      </c>
      <c r="I91" s="42">
        <v>0</v>
      </c>
      <c r="J91" s="44" t="s">
        <v>31</v>
      </c>
      <c r="K91" s="44" t="s">
        <v>31</v>
      </c>
      <c r="L91" s="44" t="s">
        <v>31</v>
      </c>
      <c r="M91" s="44" t="s">
        <v>31</v>
      </c>
      <c r="N91" s="44" t="s">
        <v>31</v>
      </c>
      <c r="O91" s="44"/>
      <c r="P91" s="42"/>
    </row>
    <row r="92" spans="1:16" s="49" customFormat="1" ht="15.75">
      <c r="A92" s="49" t="str">
        <f>A12</f>
        <v>treatment of aluminium, H2 plant construction EoL, PEMFC-bat</v>
      </c>
      <c r="B92" s="49">
        <v>96777.638855030091</v>
      </c>
      <c r="D92" s="50" t="s">
        <v>37</v>
      </c>
      <c r="E92" s="51" t="s">
        <v>2</v>
      </c>
      <c r="F92" s="51" t="s">
        <v>1674</v>
      </c>
      <c r="G92" s="50" t="s">
        <v>58</v>
      </c>
      <c r="H92" s="49" t="s">
        <v>33</v>
      </c>
      <c r="I92" s="51">
        <v>0</v>
      </c>
      <c r="J92" s="50" t="s">
        <v>31</v>
      </c>
      <c r="K92" s="50" t="s">
        <v>31</v>
      </c>
      <c r="L92" s="50" t="s">
        <v>31</v>
      </c>
      <c r="M92" s="50" t="s">
        <v>31</v>
      </c>
      <c r="N92" s="50" t="s">
        <v>31</v>
      </c>
      <c r="O92" s="49" t="s">
        <v>1484</v>
      </c>
    </row>
    <row r="93" spans="1:16" s="49" customFormat="1" ht="15.75">
      <c r="A93" s="49" t="str">
        <f>A27</f>
        <v>treatment of copper, H2 plant construction EoL, PEMFC-bat</v>
      </c>
      <c r="B93" s="49">
        <v>61559.795896978147</v>
      </c>
      <c r="D93" s="50" t="s">
        <v>37</v>
      </c>
      <c r="E93" s="51" t="s">
        <v>2</v>
      </c>
      <c r="F93" s="51" t="s">
        <v>1674</v>
      </c>
      <c r="G93" s="50" t="s">
        <v>58</v>
      </c>
      <c r="H93" s="49" t="s">
        <v>33</v>
      </c>
      <c r="I93" s="51">
        <v>0</v>
      </c>
      <c r="J93" s="50" t="s">
        <v>31</v>
      </c>
      <c r="K93" s="50" t="s">
        <v>31</v>
      </c>
      <c r="L93" s="50" t="s">
        <v>31</v>
      </c>
      <c r="M93" s="50" t="s">
        <v>31</v>
      </c>
      <c r="N93" s="50" t="s">
        <v>31</v>
      </c>
      <c r="O93" s="49" t="s">
        <v>1487</v>
      </c>
    </row>
    <row r="94" spans="1:16" s="49" customFormat="1" ht="15.75">
      <c r="A94" s="49" t="str">
        <f>A55</f>
        <v>treatment of composites, H2 plant construction EoL, PEMFC-bat</v>
      </c>
      <c r="B94" s="49">
        <v>10059.696843640051</v>
      </c>
      <c r="D94" s="50" t="s">
        <v>37</v>
      </c>
      <c r="E94" s="51" t="s">
        <v>2</v>
      </c>
      <c r="F94" s="51" t="s">
        <v>1674</v>
      </c>
      <c r="G94" s="50" t="s">
        <v>58</v>
      </c>
      <c r="H94" s="49" t="s">
        <v>33</v>
      </c>
      <c r="I94" s="51">
        <v>0</v>
      </c>
      <c r="J94" s="50" t="s">
        <v>31</v>
      </c>
      <c r="K94" s="50" t="s">
        <v>31</v>
      </c>
      <c r="L94" s="50" t="s">
        <v>31</v>
      </c>
      <c r="M94" s="50" t="s">
        <v>31</v>
      </c>
      <c r="N94" s="50" t="s">
        <v>31</v>
      </c>
      <c r="O94" s="49" t="s">
        <v>1687</v>
      </c>
    </row>
    <row r="95" spans="1:16" s="49" customFormat="1" ht="15.75">
      <c r="A95" s="49" t="str">
        <f>A55</f>
        <v>treatment of composites, H2 plant construction EoL, PEMFC-bat</v>
      </c>
      <c r="B95" s="49">
        <v>9077.6155077441035</v>
      </c>
      <c r="D95" s="50" t="s">
        <v>37</v>
      </c>
      <c r="E95" s="51" t="s">
        <v>2</v>
      </c>
      <c r="F95" s="51" t="s">
        <v>1674</v>
      </c>
      <c r="G95" s="50" t="s">
        <v>58</v>
      </c>
      <c r="H95" s="49" t="s">
        <v>33</v>
      </c>
      <c r="I95" s="51">
        <v>0</v>
      </c>
      <c r="J95" s="50" t="s">
        <v>31</v>
      </c>
      <c r="K95" s="50" t="s">
        <v>31</v>
      </c>
      <c r="L95" s="50" t="s">
        <v>31</v>
      </c>
      <c r="M95" s="50" t="s">
        <v>31</v>
      </c>
      <c r="N95" s="50" t="s">
        <v>31</v>
      </c>
      <c r="O95" s="49" t="s">
        <v>1688</v>
      </c>
    </row>
    <row r="96" spans="1:16" s="49" customFormat="1" ht="15.75">
      <c r="A96" s="49" t="str">
        <f>A55</f>
        <v>treatment of composites, H2 plant construction EoL, PEMFC-bat</v>
      </c>
      <c r="B96" s="49">
        <v>8563.0795206679304</v>
      </c>
      <c r="D96" s="50" t="s">
        <v>37</v>
      </c>
      <c r="E96" s="51" t="s">
        <v>2</v>
      </c>
      <c r="F96" s="51" t="s">
        <v>1674</v>
      </c>
      <c r="G96" s="50" t="s">
        <v>58</v>
      </c>
      <c r="H96" s="49" t="s">
        <v>33</v>
      </c>
      <c r="I96" s="51">
        <v>0</v>
      </c>
      <c r="J96" s="50" t="s">
        <v>31</v>
      </c>
      <c r="K96" s="50" t="s">
        <v>31</v>
      </c>
      <c r="L96" s="50" t="s">
        <v>31</v>
      </c>
      <c r="M96" s="50" t="s">
        <v>31</v>
      </c>
      <c r="N96" s="50" t="s">
        <v>31</v>
      </c>
      <c r="O96" s="49" t="s">
        <v>1689</v>
      </c>
    </row>
    <row r="97" spans="1:15" s="49" customFormat="1" ht="15.75">
      <c r="A97" s="49" t="str">
        <f>A55</f>
        <v>treatment of composites, H2 plant construction EoL, PEMFC-bat</v>
      </c>
      <c r="B97" s="49">
        <v>8801.6000000000022</v>
      </c>
      <c r="D97" s="50" t="s">
        <v>37</v>
      </c>
      <c r="E97" s="51" t="s">
        <v>2</v>
      </c>
      <c r="F97" s="51" t="s">
        <v>1674</v>
      </c>
      <c r="G97" s="50" t="s">
        <v>58</v>
      </c>
      <c r="H97" s="49" t="s">
        <v>33</v>
      </c>
      <c r="I97" s="51">
        <v>0</v>
      </c>
      <c r="J97" s="50" t="s">
        <v>31</v>
      </c>
      <c r="K97" s="50" t="s">
        <v>31</v>
      </c>
      <c r="L97" s="50" t="s">
        <v>31</v>
      </c>
      <c r="M97" s="50" t="s">
        <v>31</v>
      </c>
      <c r="N97" s="50" t="s">
        <v>31</v>
      </c>
      <c r="O97" s="49" t="s">
        <v>1690</v>
      </c>
    </row>
    <row r="98" spans="1:15" s="49" customFormat="1" ht="15.75">
      <c r="A98" s="49" t="str">
        <f>A41</f>
        <v>treatment of steel, H2 plant construction EoL, PEMFC-bat</v>
      </c>
      <c r="B98" s="49">
        <v>1246836.374252934</v>
      </c>
      <c r="D98" s="50" t="s">
        <v>37</v>
      </c>
      <c r="E98" s="51" t="s">
        <v>2</v>
      </c>
      <c r="F98" s="51" t="s">
        <v>1674</v>
      </c>
      <c r="G98" s="50" t="s">
        <v>58</v>
      </c>
      <c r="H98" s="49" t="s">
        <v>33</v>
      </c>
      <c r="I98" s="51">
        <v>0</v>
      </c>
      <c r="J98" s="50" t="s">
        <v>31</v>
      </c>
      <c r="K98" s="50" t="s">
        <v>31</v>
      </c>
      <c r="L98" s="50" t="s">
        <v>31</v>
      </c>
      <c r="M98" s="50" t="s">
        <v>31</v>
      </c>
      <c r="N98" s="50" t="s">
        <v>31</v>
      </c>
      <c r="O98" s="49" t="s">
        <v>1436</v>
      </c>
    </row>
    <row r="99" spans="1:15" s="49" customFormat="1" ht="15.75">
      <c r="A99" s="49" t="str">
        <f>A55</f>
        <v>treatment of composites, H2 plant construction EoL, PEMFC-bat</v>
      </c>
      <c r="B99" s="49">
        <v>52819.200000000004</v>
      </c>
      <c r="D99" s="50" t="s">
        <v>37</v>
      </c>
      <c r="E99" s="51" t="s">
        <v>2</v>
      </c>
      <c r="F99" s="51" t="s">
        <v>1674</v>
      </c>
      <c r="G99" s="50" t="s">
        <v>58</v>
      </c>
      <c r="H99" s="49" t="s">
        <v>33</v>
      </c>
      <c r="I99" s="51">
        <v>0</v>
      </c>
      <c r="J99" s="50" t="s">
        <v>31</v>
      </c>
      <c r="K99" s="50" t="s">
        <v>31</v>
      </c>
      <c r="L99" s="50" t="s">
        <v>31</v>
      </c>
      <c r="M99" s="50" t="s">
        <v>31</v>
      </c>
      <c r="N99" s="50" t="s">
        <v>31</v>
      </c>
      <c r="O99" s="49" t="s">
        <v>1691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8540-D8D9-4917-A45F-35D69182A8B5}">
  <dimension ref="A1:O18"/>
  <sheetViews>
    <sheetView topLeftCell="A5" workbookViewId="0">
      <selection activeCell="C43" sqref="C43"/>
    </sheetView>
  </sheetViews>
  <sheetFormatPr defaultRowHeight="15"/>
  <cols>
    <col min="1" max="1" width="36" bestFit="1" customWidth="1"/>
    <col min="2" max="2" width="54.28515625" bestFit="1" customWidth="1"/>
  </cols>
  <sheetData>
    <row r="1" spans="1:15" s="24" customFormat="1">
      <c r="A1" s="24" t="s">
        <v>0</v>
      </c>
      <c r="B1" s="24">
        <v>13</v>
      </c>
      <c r="C1" s="25"/>
      <c r="O1" s="26" t="str">
        <f ca="1">UPPER(CONCATENATE(DEC2HEX(RANDBETWEEN(0,POWER(16,8)),8),DEC2HEX(RANDBETWEEN(0,POWER(16,4)),4),"4",DEC2HEX(RANDBETWEEN(0,POWER(16,3)),3),DEC2HEX(RANDBETWEEN(8,11)),DEC2HEX(RANDBETWEEN(0,POWER(16,3)),3),DEC2HEX(RANDBETWEEN(0,POWER(16,8)),8),DEC2HEX(RANDBETWEEN(0,POWER(16,4)),4)))</f>
        <v>45CC6BAACAC74508950626E613B396D1</v>
      </c>
    </row>
    <row r="2" spans="1:15" s="24" customFormat="1" ht="15.75">
      <c r="A2" s="29" t="s">
        <v>5</v>
      </c>
      <c r="B2" s="29" t="s">
        <v>1596</v>
      </c>
      <c r="C2" s="30"/>
      <c r="D2" s="31"/>
      <c r="E2" s="31"/>
      <c r="F2" s="31"/>
      <c r="G2" s="31"/>
      <c r="H2" s="31"/>
      <c r="I2" s="31"/>
      <c r="J2" s="31"/>
      <c r="K2" s="31"/>
      <c r="L2" s="31"/>
      <c r="M2" s="31"/>
      <c r="N2" s="31"/>
    </row>
    <row r="3" spans="1:15" s="26" customFormat="1" ht="12.75">
      <c r="A3" s="26" t="s">
        <v>7</v>
      </c>
      <c r="B3" s="26" t="s">
        <v>1583</v>
      </c>
    </row>
    <row r="4" spans="1:15" s="26" customFormat="1" ht="12.75">
      <c r="A4" s="26" t="s">
        <v>9</v>
      </c>
      <c r="B4" s="26" t="s">
        <v>1692</v>
      </c>
    </row>
    <row r="5" spans="1:15" s="26" customFormat="1" ht="38.25">
      <c r="A5" s="26" t="s">
        <v>11</v>
      </c>
      <c r="B5" s="37" t="s">
        <v>1693</v>
      </c>
    </row>
    <row r="6" spans="1:15" s="26" customFormat="1" ht="12.75">
      <c r="A6" s="26" t="s">
        <v>13</v>
      </c>
      <c r="B6" s="26" t="s">
        <v>14</v>
      </c>
    </row>
    <row r="7" spans="1:15" s="26" customFormat="1" ht="12.75">
      <c r="A7" s="26" t="s">
        <v>15</v>
      </c>
      <c r="B7" s="32">
        <v>1</v>
      </c>
    </row>
    <row r="8" spans="1:15" s="26" customFormat="1" ht="12.75">
      <c r="A8" s="26" t="s">
        <v>16</v>
      </c>
      <c r="B8" s="26" t="s">
        <v>17</v>
      </c>
    </row>
    <row r="9" spans="1:15" s="26" customFormat="1" ht="12.75">
      <c r="A9" s="26" t="s">
        <v>18</v>
      </c>
      <c r="B9" s="26" t="s">
        <v>18</v>
      </c>
    </row>
    <row r="10" spans="1:15" s="24" customFormat="1" ht="15.75">
      <c r="A10" s="27" t="s">
        <v>19</v>
      </c>
    </row>
    <row r="11" spans="1:15" s="24" customFormat="1" ht="15.75">
      <c r="A11" s="27" t="s">
        <v>20</v>
      </c>
      <c r="B11" s="27" t="s">
        <v>21</v>
      </c>
      <c r="C11" s="27" t="s">
        <v>18</v>
      </c>
      <c r="D11" s="27" t="s">
        <v>22</v>
      </c>
      <c r="E11" s="27" t="s">
        <v>7</v>
      </c>
      <c r="F11" s="27" t="s">
        <v>13</v>
      </c>
      <c r="G11" s="27" t="s">
        <v>16</v>
      </c>
      <c r="H11" s="27" t="s">
        <v>23</v>
      </c>
      <c r="I11" s="27" t="s">
        <v>24</v>
      </c>
      <c r="J11" s="27" t="s">
        <v>25</v>
      </c>
      <c r="K11" s="27" t="s">
        <v>26</v>
      </c>
      <c r="L11" s="27" t="s">
        <v>27</v>
      </c>
      <c r="M11" s="27" t="s">
        <v>28</v>
      </c>
      <c r="N11" s="27" t="s">
        <v>68</v>
      </c>
    </row>
    <row r="12" spans="1:15" s="26" customFormat="1" ht="12.75">
      <c r="A12" s="26" t="s">
        <v>1596</v>
      </c>
      <c r="B12" s="26">
        <f>B7</f>
        <v>1</v>
      </c>
      <c r="C12" s="26" t="str">
        <f>B9</f>
        <v>unit</v>
      </c>
      <c r="D12" s="26" t="s">
        <v>2</v>
      </c>
      <c r="E12" s="26" t="s">
        <v>29</v>
      </c>
      <c r="F12" s="26" t="str">
        <f>B6</f>
        <v>EUR</v>
      </c>
      <c r="G12" s="26" t="s">
        <v>30</v>
      </c>
      <c r="H12" s="26">
        <v>0</v>
      </c>
      <c r="I12" s="26">
        <f>B12</f>
        <v>1</v>
      </c>
      <c r="J12" s="26" t="s">
        <v>31</v>
      </c>
      <c r="K12" s="26" t="s">
        <v>31</v>
      </c>
      <c r="L12" s="26" t="s">
        <v>31</v>
      </c>
      <c r="M12" s="26" t="s">
        <v>31</v>
      </c>
    </row>
    <row r="13" spans="1:15" s="26" customFormat="1" ht="12.75">
      <c r="A13" s="26" t="s">
        <v>688</v>
      </c>
      <c r="B13" s="26">
        <v>380000</v>
      </c>
      <c r="C13" s="26" t="s">
        <v>37</v>
      </c>
      <c r="D13" s="26" t="s">
        <v>40</v>
      </c>
      <c r="E13" s="26" t="s">
        <v>29</v>
      </c>
      <c r="F13" s="26" t="s">
        <v>58</v>
      </c>
      <c r="G13" s="26" t="s">
        <v>33</v>
      </c>
      <c r="H13" s="26">
        <v>2</v>
      </c>
      <c r="I13" s="26">
        <f>LN(B13)</f>
        <v>12.847926531702569</v>
      </c>
      <c r="J13" s="26">
        <v>1.2523227161918644</v>
      </c>
      <c r="K13" s="26" t="s">
        <v>31</v>
      </c>
      <c r="L13" s="26" t="s">
        <v>31</v>
      </c>
      <c r="M13" s="26" t="s">
        <v>31</v>
      </c>
    </row>
    <row r="14" spans="1:15">
      <c r="A14" s="26" t="s">
        <v>682</v>
      </c>
      <c r="B14" s="26">
        <v>595000</v>
      </c>
      <c r="C14" s="26" t="s">
        <v>37</v>
      </c>
      <c r="D14" s="26" t="s">
        <v>40</v>
      </c>
      <c r="E14" s="26" t="s">
        <v>29</v>
      </c>
      <c r="F14" s="26" t="s">
        <v>58</v>
      </c>
      <c r="G14" s="26" t="s">
        <v>33</v>
      </c>
      <c r="H14" s="26">
        <v>2</v>
      </c>
      <c r="I14" s="26">
        <f>LN(B14)</f>
        <v>13.296316684527767</v>
      </c>
      <c r="J14" s="26">
        <v>1.2523227161918644</v>
      </c>
      <c r="K14" s="26" t="s">
        <v>31</v>
      </c>
      <c r="L14" s="26" t="s">
        <v>31</v>
      </c>
      <c r="M14" s="26" t="s">
        <v>31</v>
      </c>
    </row>
    <row r="15" spans="1:15">
      <c r="A15" s="26" t="s">
        <v>342</v>
      </c>
      <c r="B15" s="26">
        <v>150000</v>
      </c>
      <c r="C15" s="26" t="s">
        <v>37</v>
      </c>
      <c r="D15" s="26" t="s">
        <v>40</v>
      </c>
      <c r="E15" s="26" t="s">
        <v>29</v>
      </c>
      <c r="F15" s="26" t="s">
        <v>58</v>
      </c>
      <c r="G15" s="26" t="s">
        <v>33</v>
      </c>
      <c r="H15" s="26">
        <v>2</v>
      </c>
      <c r="I15" s="26">
        <f>LN(B15)</f>
        <v>11.918390573078392</v>
      </c>
      <c r="J15" s="26">
        <v>1.2523227161918644</v>
      </c>
      <c r="K15" s="26" t="s">
        <v>31</v>
      </c>
      <c r="L15" s="26" t="s">
        <v>31</v>
      </c>
      <c r="M15" s="26" t="s">
        <v>31</v>
      </c>
    </row>
    <row r="16" spans="1:15">
      <c r="A16" s="26" t="s">
        <v>238</v>
      </c>
      <c r="B16" s="26">
        <v>140000</v>
      </c>
      <c r="C16" s="26" t="s">
        <v>37</v>
      </c>
      <c r="D16" s="26" t="s">
        <v>40</v>
      </c>
      <c r="E16" s="26" t="s">
        <v>29</v>
      </c>
      <c r="F16" s="26" t="s">
        <v>58</v>
      </c>
      <c r="G16" s="26" t="s">
        <v>33</v>
      </c>
      <c r="H16" s="26">
        <v>2</v>
      </c>
      <c r="I16" s="26">
        <f>LN(B16)</f>
        <v>11.849397701591441</v>
      </c>
      <c r="J16" s="26">
        <v>1.2523227161918644</v>
      </c>
      <c r="K16" s="26" t="s">
        <v>31</v>
      </c>
      <c r="L16" s="26" t="s">
        <v>31</v>
      </c>
      <c r="M16" s="26" t="s">
        <v>31</v>
      </c>
    </row>
    <row r="17" spans="1:13">
      <c r="A17" s="26" t="s">
        <v>1694</v>
      </c>
      <c r="B17" s="26">
        <v>23.31</v>
      </c>
      <c r="C17" s="26" t="s">
        <v>42</v>
      </c>
      <c r="D17" s="26" t="s">
        <v>40</v>
      </c>
      <c r="E17" s="26" t="s">
        <v>29</v>
      </c>
      <c r="F17" s="26" t="s">
        <v>58</v>
      </c>
      <c r="G17" s="26" t="s">
        <v>33</v>
      </c>
      <c r="H17" s="26">
        <v>2</v>
      </c>
      <c r="I17" s="26">
        <f>LN(B17)</f>
        <v>3.1488824530476656</v>
      </c>
      <c r="J17" s="26">
        <v>1.2523227161918644</v>
      </c>
      <c r="K17" s="26" t="s">
        <v>31</v>
      </c>
      <c r="L17" s="26" t="s">
        <v>31</v>
      </c>
      <c r="M17" s="26" t="s">
        <v>31</v>
      </c>
    </row>
    <row r="18" spans="1:13">
      <c r="A18" t="s">
        <v>1695</v>
      </c>
      <c r="B18" s="26">
        <v>1</v>
      </c>
      <c r="C18" s="26" t="s">
        <v>18</v>
      </c>
      <c r="D18" s="26">
        <v>1</v>
      </c>
      <c r="E18" s="26" t="s">
        <v>29</v>
      </c>
      <c r="F18" s="26" t="s">
        <v>58</v>
      </c>
      <c r="G18" s="26" t="s">
        <v>33</v>
      </c>
      <c r="H18" s="26">
        <v>0</v>
      </c>
      <c r="I18" s="26">
        <v>1</v>
      </c>
      <c r="J18" s="26" t="s">
        <v>31</v>
      </c>
      <c r="K18" s="26" t="s">
        <v>31</v>
      </c>
      <c r="L18" s="26" t="s">
        <v>31</v>
      </c>
      <c r="M18" s="26" t="s">
        <v>31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67F03-1717-4F31-8143-2C1BFF585A88}">
  <dimension ref="A1:U80"/>
  <sheetViews>
    <sheetView topLeftCell="A50" zoomScale="85" zoomScaleNormal="85" workbookViewId="0">
      <selection sqref="A1:B1"/>
    </sheetView>
  </sheetViews>
  <sheetFormatPr defaultRowHeight="15"/>
  <cols>
    <col min="1" max="1" width="40" bestFit="1" customWidth="1"/>
    <col min="3" max="3" width="10.140625" bestFit="1" customWidth="1"/>
    <col min="4" max="4" width="28.85546875" bestFit="1" customWidth="1"/>
  </cols>
  <sheetData>
    <row r="1" spans="1:16">
      <c r="A1" t="s">
        <v>0</v>
      </c>
      <c r="B1">
        <v>14</v>
      </c>
    </row>
    <row r="2" spans="1:16" s="41" customFormat="1" ht="15.75">
      <c r="A2" s="38" t="s">
        <v>5</v>
      </c>
      <c r="B2" s="38" t="s">
        <v>1696</v>
      </c>
      <c r="C2" s="38"/>
      <c r="D2" s="39"/>
      <c r="E2" s="40"/>
      <c r="F2" s="40"/>
      <c r="G2" s="40"/>
      <c r="H2" s="40"/>
      <c r="I2" s="40"/>
      <c r="J2" s="40"/>
      <c r="K2" s="40"/>
      <c r="L2" s="40"/>
      <c r="M2" s="40"/>
      <c r="N2" s="40"/>
      <c r="O2" s="40"/>
      <c r="P2" s="40"/>
    </row>
    <row r="3" spans="1:16">
      <c r="A3" s="42" t="s">
        <v>7</v>
      </c>
      <c r="B3" s="42" t="s">
        <v>1349</v>
      </c>
      <c r="C3" s="42"/>
      <c r="D3" s="42"/>
      <c r="E3" s="42"/>
      <c r="F3" s="42"/>
      <c r="G3" s="42"/>
      <c r="H3" s="42"/>
      <c r="I3" s="42"/>
      <c r="J3" s="42"/>
      <c r="K3" s="42"/>
      <c r="L3" s="42"/>
      <c r="M3" s="42"/>
      <c r="N3" s="42"/>
      <c r="O3" s="42"/>
      <c r="P3" s="42"/>
    </row>
    <row r="4" spans="1:16">
      <c r="A4" s="42" t="s">
        <v>9</v>
      </c>
      <c r="B4" s="43" t="str">
        <f ca="1">UPPER(CONCATENATE(DEC2HEX(RANDBETWEEN(0,POWER(16,8)),8),DEC2HEX(RANDBETWEEN(0,POWER(16,4)),4),"4",DEC2HEX(RANDBETWEEN(0,POWER(16,3)),3),DEC2HEX(RANDBETWEEN(8,11)),DEC2HEX(RANDBETWEEN(0,POWER(16,3)),3),DEC2HEX(RANDBETWEEN(0,POWER(16,8)),8),DEC2HEX(RANDBETWEEN(0,POWER(16,4)),4)))</f>
        <v>23E785EA4CAA4EDF88C1AE669F7214A4</v>
      </c>
      <c r="C4" s="42"/>
      <c r="D4" s="42"/>
      <c r="E4" s="42"/>
      <c r="F4" s="42"/>
      <c r="G4" s="42"/>
      <c r="H4" s="42"/>
      <c r="I4" s="42"/>
      <c r="J4" s="42"/>
      <c r="K4" s="42"/>
      <c r="L4" s="42"/>
      <c r="M4" s="42"/>
      <c r="N4" s="42"/>
      <c r="O4" s="42"/>
      <c r="P4" s="42"/>
    </row>
    <row r="5" spans="1:16">
      <c r="A5" s="42" t="s">
        <v>11</v>
      </c>
      <c r="B5" s="42" t="s">
        <v>1697</v>
      </c>
      <c r="C5" s="42"/>
      <c r="D5" s="42"/>
      <c r="E5" s="42"/>
      <c r="F5" s="42"/>
      <c r="G5" s="42"/>
      <c r="H5" s="42"/>
      <c r="I5" s="42"/>
      <c r="J5" s="42"/>
      <c r="K5" s="42"/>
      <c r="L5" s="42"/>
      <c r="M5" s="42"/>
      <c r="N5" s="42"/>
      <c r="O5" s="42"/>
      <c r="P5" s="42"/>
    </row>
    <row r="6" spans="1:16">
      <c r="A6" s="42" t="s">
        <v>13</v>
      </c>
      <c r="B6" s="42" t="s">
        <v>58</v>
      </c>
      <c r="C6" s="42"/>
      <c r="D6" s="42"/>
      <c r="E6" s="42"/>
      <c r="F6" s="42"/>
      <c r="G6" s="42"/>
      <c r="H6" s="42"/>
      <c r="I6" s="42"/>
      <c r="J6" s="42"/>
      <c r="K6" s="42"/>
      <c r="L6" s="42"/>
      <c r="M6" s="42"/>
      <c r="N6" s="42"/>
      <c r="O6" s="42"/>
      <c r="P6" s="42"/>
    </row>
    <row r="7" spans="1:16">
      <c r="A7" s="42" t="s">
        <v>15</v>
      </c>
      <c r="B7" s="42">
        <v>1</v>
      </c>
      <c r="C7" s="42"/>
      <c r="D7" s="42"/>
      <c r="E7" s="42"/>
      <c r="F7" s="42"/>
      <c r="G7" s="42"/>
      <c r="H7" s="42"/>
      <c r="I7" s="42"/>
      <c r="J7" s="42"/>
      <c r="K7" s="42"/>
      <c r="L7" s="42"/>
      <c r="M7" s="42"/>
      <c r="N7" s="42"/>
      <c r="O7" s="42"/>
      <c r="P7" s="42"/>
    </row>
    <row r="8" spans="1:16">
      <c r="A8" s="42" t="s">
        <v>16</v>
      </c>
      <c r="B8" s="42" t="s">
        <v>17</v>
      </c>
      <c r="C8" s="42"/>
      <c r="D8" s="42"/>
      <c r="E8" s="42"/>
      <c r="F8" s="42"/>
      <c r="G8" s="42"/>
      <c r="H8" s="42"/>
      <c r="I8" s="42"/>
      <c r="J8" s="42"/>
      <c r="K8" s="42"/>
      <c r="L8" s="42"/>
      <c r="M8" s="42"/>
      <c r="N8" s="42"/>
      <c r="O8" s="42"/>
      <c r="P8" s="42"/>
    </row>
    <row r="9" spans="1:16" ht="15.75">
      <c r="A9" s="42" t="s">
        <v>18</v>
      </c>
      <c r="B9" s="44" t="s">
        <v>37</v>
      </c>
      <c r="C9" s="42"/>
      <c r="D9" s="42"/>
      <c r="E9" s="42" t="s">
        <v>197</v>
      </c>
      <c r="F9" s="42"/>
      <c r="G9" s="42"/>
      <c r="H9" s="42"/>
      <c r="I9" s="42"/>
      <c r="J9" s="42"/>
      <c r="K9" s="42"/>
      <c r="L9" s="42"/>
      <c r="M9" s="42"/>
      <c r="N9" s="42"/>
      <c r="O9" s="42"/>
      <c r="P9" s="42"/>
    </row>
    <row r="10" spans="1:16" ht="15.75">
      <c r="A10" s="45" t="s">
        <v>19</v>
      </c>
      <c r="B10" s="42"/>
      <c r="C10" s="42"/>
      <c r="D10" s="42"/>
      <c r="E10" s="42"/>
      <c r="F10" s="42"/>
      <c r="G10" s="42"/>
      <c r="H10" s="42"/>
      <c r="I10" s="42"/>
      <c r="J10" s="42"/>
      <c r="K10" s="42"/>
      <c r="L10" s="42"/>
      <c r="M10" s="42"/>
      <c r="N10" s="42"/>
      <c r="O10" s="42"/>
      <c r="P10" s="42"/>
    </row>
    <row r="11" spans="1:16"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16" ht="15.75">
      <c r="A12" s="44" t="str">
        <f>B2</f>
        <v>treatment of aluminium, H2 liquefaction, PEMFC-bat</v>
      </c>
      <c r="B12" s="44">
        <v>1</v>
      </c>
      <c r="C12" s="44"/>
      <c r="D12" s="44" t="s">
        <v>37</v>
      </c>
      <c r="E12" s="42" t="s">
        <v>2</v>
      </c>
      <c r="F12" s="42" t="s">
        <v>1698</v>
      </c>
      <c r="G12" s="44" t="s">
        <v>58</v>
      </c>
      <c r="H12" s="42" t="s">
        <v>30</v>
      </c>
      <c r="I12" s="42">
        <v>0</v>
      </c>
      <c r="J12" s="44" t="s">
        <v>31</v>
      </c>
      <c r="K12" s="44" t="s">
        <v>31</v>
      </c>
      <c r="L12" s="44" t="s">
        <v>31</v>
      </c>
      <c r="M12" s="44" t="s">
        <v>31</v>
      </c>
      <c r="N12" s="44" t="s">
        <v>31</v>
      </c>
      <c r="O12" s="44" t="s">
        <v>1466</v>
      </c>
      <c r="P12" s="42"/>
    </row>
    <row r="13" spans="1:16" ht="15.75">
      <c r="A13" t="s">
        <v>245</v>
      </c>
      <c r="B13" s="23">
        <v>0.85</v>
      </c>
      <c r="C13" s="44"/>
      <c r="D13" s="44" t="s">
        <v>37</v>
      </c>
      <c r="E13" s="32" t="s">
        <v>40</v>
      </c>
      <c r="F13" s="42" t="s">
        <v>1698</v>
      </c>
      <c r="G13" s="44" t="s">
        <v>128</v>
      </c>
      <c r="H13" s="42" t="s">
        <v>33</v>
      </c>
      <c r="I13" s="42">
        <v>0</v>
      </c>
      <c r="J13" s="44" t="s">
        <v>31</v>
      </c>
      <c r="K13" s="44" t="s">
        <v>31</v>
      </c>
      <c r="L13" s="44" t="s">
        <v>31</v>
      </c>
      <c r="M13" s="44" t="s">
        <v>31</v>
      </c>
      <c r="N13" s="44" t="s">
        <v>31</v>
      </c>
      <c r="O13" s="42"/>
      <c r="P13" s="42"/>
    </row>
    <row r="14" spans="1:16" ht="15.75">
      <c r="A14" t="s">
        <v>247</v>
      </c>
      <c r="B14" s="23">
        <v>0.85</v>
      </c>
      <c r="C14" s="22" t="s">
        <v>248</v>
      </c>
      <c r="D14" t="s">
        <v>37</v>
      </c>
      <c r="E14" s="46" t="s">
        <v>40</v>
      </c>
      <c r="F14" s="42" t="s">
        <v>1698</v>
      </c>
      <c r="G14" s="44" t="s">
        <v>128</v>
      </c>
      <c r="H14" s="42" t="s">
        <v>33</v>
      </c>
      <c r="I14" s="42">
        <v>0</v>
      </c>
      <c r="J14" s="44" t="s">
        <v>31</v>
      </c>
      <c r="K14" s="44" t="s">
        <v>31</v>
      </c>
      <c r="L14" s="44" t="s">
        <v>31</v>
      </c>
      <c r="M14" s="44" t="s">
        <v>31</v>
      </c>
      <c r="N14" s="44" t="s">
        <v>31</v>
      </c>
      <c r="O14" s="44" t="s">
        <v>1367</v>
      </c>
    </row>
    <row r="15" spans="1:16" ht="15.75">
      <c r="A15" t="s">
        <v>329</v>
      </c>
      <c r="B15" s="23">
        <f>B14*0.9</f>
        <v>0.76500000000000001</v>
      </c>
      <c r="D15" t="s">
        <v>37</v>
      </c>
      <c r="E15" s="46" t="s">
        <v>40</v>
      </c>
      <c r="F15" s="42" t="s">
        <v>1698</v>
      </c>
      <c r="G15" t="s">
        <v>58</v>
      </c>
      <c r="H15" s="42" t="s">
        <v>243</v>
      </c>
      <c r="I15" s="42">
        <v>0</v>
      </c>
      <c r="J15" s="44" t="s">
        <v>31</v>
      </c>
      <c r="K15" s="44" t="s">
        <v>31</v>
      </c>
      <c r="L15" s="44" t="s">
        <v>31</v>
      </c>
      <c r="M15" s="44" t="s">
        <v>31</v>
      </c>
      <c r="N15" s="44" t="s">
        <v>31</v>
      </c>
      <c r="O15" s="42"/>
      <c r="P15" s="44" t="s">
        <v>1391</v>
      </c>
    </row>
    <row r="16" spans="1:16" ht="15.75">
      <c r="A16" t="s">
        <v>380</v>
      </c>
      <c r="B16" s="23">
        <f>-(1-B15)</f>
        <v>-0.23499999999999999</v>
      </c>
      <c r="D16" t="s">
        <v>37</v>
      </c>
      <c r="E16" s="47" t="s">
        <v>40</v>
      </c>
      <c r="F16" s="42" t="s">
        <v>1698</v>
      </c>
      <c r="G16" t="s">
        <v>58</v>
      </c>
      <c r="H16" t="s">
        <v>33</v>
      </c>
      <c r="I16">
        <v>0</v>
      </c>
      <c r="J16" t="s">
        <v>31</v>
      </c>
      <c r="K16" t="s">
        <v>31</v>
      </c>
      <c r="L16" t="s">
        <v>31</v>
      </c>
      <c r="M16" t="s">
        <v>31</v>
      </c>
      <c r="N16" t="s">
        <v>31</v>
      </c>
      <c r="O16" s="17"/>
      <c r="P16" s="42"/>
    </row>
    <row r="17" spans="1:16" s="41" customFormat="1" ht="15.75">
      <c r="A17" s="38" t="s">
        <v>5</v>
      </c>
      <c r="B17" s="38" t="s">
        <v>1699</v>
      </c>
      <c r="C17" s="38"/>
      <c r="D17" s="39"/>
      <c r="E17" s="40"/>
      <c r="F17" s="40"/>
      <c r="G17" s="40"/>
      <c r="H17" s="40"/>
      <c r="I17" s="40"/>
      <c r="J17" s="40"/>
      <c r="K17" s="40"/>
      <c r="L17" s="40"/>
      <c r="M17" s="40"/>
      <c r="N17" s="40"/>
      <c r="O17" s="40"/>
      <c r="P17" s="40"/>
    </row>
    <row r="18" spans="1:16">
      <c r="A18" s="42" t="s">
        <v>7</v>
      </c>
      <c r="B18" s="42" t="s">
        <v>1349</v>
      </c>
      <c r="C18" s="42"/>
      <c r="D18" s="42"/>
      <c r="E18" s="42"/>
      <c r="F18" s="42"/>
      <c r="G18" s="42"/>
      <c r="H18" s="42"/>
      <c r="I18" s="42"/>
      <c r="J18" s="42"/>
      <c r="K18" s="42"/>
      <c r="L18" s="42"/>
      <c r="M18" s="42"/>
      <c r="N18" s="42"/>
      <c r="O18" s="42"/>
      <c r="P18" s="42"/>
    </row>
    <row r="19" spans="1:16">
      <c r="A19" s="42" t="s">
        <v>9</v>
      </c>
      <c r="B19" s="43" t="s">
        <v>1700</v>
      </c>
      <c r="C19" s="42"/>
      <c r="D19" s="42"/>
      <c r="E19" s="42"/>
      <c r="F19" s="42"/>
      <c r="G19" s="42"/>
      <c r="H19" s="42"/>
      <c r="I19" s="42"/>
      <c r="J19" s="42"/>
      <c r="K19" s="42"/>
      <c r="L19" s="42"/>
      <c r="M19" s="42"/>
      <c r="N19" s="42"/>
      <c r="O19" s="42"/>
      <c r="P19" s="42"/>
    </row>
    <row r="20" spans="1:16">
      <c r="A20" s="42" t="s">
        <v>11</v>
      </c>
      <c r="B20" s="42" t="s">
        <v>1697</v>
      </c>
      <c r="C20" s="42"/>
      <c r="D20" s="42"/>
      <c r="E20" s="42"/>
      <c r="F20" s="42"/>
      <c r="G20" s="42"/>
      <c r="H20" s="42"/>
      <c r="I20" s="42"/>
      <c r="J20" s="42"/>
      <c r="K20" s="42"/>
      <c r="L20" s="42"/>
      <c r="M20" s="42"/>
      <c r="N20" s="42"/>
      <c r="O20" s="42"/>
      <c r="P20" s="42"/>
    </row>
    <row r="21" spans="1:16">
      <c r="A21" s="42" t="s">
        <v>13</v>
      </c>
      <c r="B21" s="42" t="s">
        <v>58</v>
      </c>
      <c r="C21" s="42"/>
      <c r="D21" s="42"/>
      <c r="E21" s="42"/>
      <c r="F21" s="42"/>
      <c r="G21" s="42"/>
      <c r="H21" s="42"/>
      <c r="I21" s="42"/>
      <c r="J21" s="42"/>
      <c r="K21" s="42"/>
      <c r="L21" s="42"/>
      <c r="M21" s="42"/>
      <c r="N21" s="42"/>
      <c r="O21" s="42"/>
      <c r="P21" s="42"/>
    </row>
    <row r="22" spans="1:16">
      <c r="A22" s="42" t="s">
        <v>15</v>
      </c>
      <c r="B22" s="42">
        <v>1</v>
      </c>
      <c r="C22" s="42"/>
      <c r="D22" s="42"/>
      <c r="E22" s="42"/>
      <c r="F22" s="42"/>
      <c r="G22" s="42"/>
      <c r="H22" s="42"/>
      <c r="I22" s="42"/>
      <c r="J22" s="42"/>
      <c r="K22" s="42"/>
      <c r="L22" s="42"/>
      <c r="M22" s="42"/>
      <c r="N22" s="42"/>
      <c r="O22" s="42"/>
      <c r="P22" s="42"/>
    </row>
    <row r="23" spans="1:16">
      <c r="A23" s="42" t="s">
        <v>16</v>
      </c>
      <c r="B23" s="42" t="s">
        <v>17</v>
      </c>
      <c r="C23" s="42"/>
      <c r="D23" s="42"/>
      <c r="E23" s="42"/>
      <c r="F23" s="42"/>
      <c r="G23" s="42"/>
      <c r="H23" s="42"/>
      <c r="I23" s="42"/>
      <c r="J23" s="42"/>
      <c r="K23" s="42"/>
      <c r="L23" s="42"/>
      <c r="M23" s="42"/>
      <c r="N23" s="42"/>
      <c r="O23" s="42"/>
      <c r="P23" s="42"/>
    </row>
    <row r="24" spans="1:16" ht="15.75">
      <c r="A24" s="42" t="s">
        <v>18</v>
      </c>
      <c r="B24" s="44" t="s">
        <v>37</v>
      </c>
      <c r="C24" s="42"/>
      <c r="D24" s="42"/>
      <c r="E24" s="42" t="s">
        <v>197</v>
      </c>
      <c r="F24" s="42"/>
      <c r="G24" s="42"/>
      <c r="H24" s="42"/>
      <c r="I24" s="42"/>
      <c r="J24" s="42"/>
      <c r="K24" s="42"/>
      <c r="L24" s="42"/>
      <c r="M24" s="42"/>
      <c r="N24" s="42"/>
      <c r="O24" s="42"/>
      <c r="P24" s="42"/>
    </row>
    <row r="25" spans="1:16" ht="15.75">
      <c r="A25" s="45" t="s">
        <v>19</v>
      </c>
      <c r="B25" s="42"/>
      <c r="C25" s="42"/>
      <c r="D25" s="42"/>
      <c r="E25" s="42"/>
      <c r="F25" s="42"/>
      <c r="G25" s="42"/>
      <c r="H25" s="42"/>
      <c r="I25" s="42"/>
      <c r="J25" s="42"/>
      <c r="K25" s="42"/>
      <c r="L25" s="42"/>
      <c r="M25" s="42"/>
      <c r="N25" s="42"/>
      <c r="O25" s="42"/>
      <c r="P25" s="42"/>
    </row>
    <row r="26" spans="1:16" ht="15.75">
      <c r="A26" s="45" t="s">
        <v>20</v>
      </c>
      <c r="B26" s="45" t="s">
        <v>21</v>
      </c>
      <c r="C26" s="45" t="s">
        <v>198</v>
      </c>
      <c r="D26" s="45" t="s">
        <v>18</v>
      </c>
      <c r="E26" s="45" t="s">
        <v>22</v>
      </c>
      <c r="F26" s="45" t="s">
        <v>7</v>
      </c>
      <c r="G26" s="45" t="s">
        <v>13</v>
      </c>
      <c r="H26" s="45" t="s">
        <v>16</v>
      </c>
      <c r="I26" s="45" t="s">
        <v>23</v>
      </c>
      <c r="J26" s="45" t="s">
        <v>24</v>
      </c>
      <c r="K26" s="45" t="s">
        <v>25</v>
      </c>
      <c r="L26" s="45" t="s">
        <v>26</v>
      </c>
      <c r="M26" s="45" t="s">
        <v>27</v>
      </c>
      <c r="N26" s="45" t="s">
        <v>28</v>
      </c>
      <c r="O26" s="45" t="s">
        <v>11</v>
      </c>
      <c r="P26" s="45" t="s">
        <v>199</v>
      </c>
    </row>
    <row r="27" spans="1:16" ht="15.75">
      <c r="A27" s="44" t="str">
        <f>B17</f>
        <v>treatment of copper, H2 liquefaction, PEMFC-bat</v>
      </c>
      <c r="B27" s="44">
        <v>1</v>
      </c>
      <c r="C27" s="44"/>
      <c r="D27" s="44" t="s">
        <v>37</v>
      </c>
      <c r="E27" s="42" t="s">
        <v>2</v>
      </c>
      <c r="F27" s="42" t="s">
        <v>1698</v>
      </c>
      <c r="G27" s="44" t="s">
        <v>58</v>
      </c>
      <c r="H27" s="42" t="s">
        <v>30</v>
      </c>
      <c r="I27" s="42">
        <v>0</v>
      </c>
      <c r="J27" s="44" t="s">
        <v>31</v>
      </c>
      <c r="K27" s="44" t="s">
        <v>31</v>
      </c>
      <c r="L27" s="44" t="s">
        <v>31</v>
      </c>
      <c r="M27" s="44" t="s">
        <v>31</v>
      </c>
      <c r="N27" s="44" t="s">
        <v>31</v>
      </c>
      <c r="O27" s="44" t="s">
        <v>1469</v>
      </c>
      <c r="P27" s="42"/>
    </row>
    <row r="28" spans="1:16" ht="15.75">
      <c r="A28" t="s">
        <v>424</v>
      </c>
      <c r="B28" s="48">
        <f>B27</f>
        <v>1</v>
      </c>
      <c r="C28" t="s">
        <v>425</v>
      </c>
      <c r="D28" t="s">
        <v>37</v>
      </c>
      <c r="E28" s="46" t="s">
        <v>40</v>
      </c>
      <c r="F28" s="42" t="s">
        <v>1698</v>
      </c>
      <c r="G28" t="s">
        <v>128</v>
      </c>
      <c r="H28" t="s">
        <v>33</v>
      </c>
      <c r="I28" s="42">
        <v>0</v>
      </c>
      <c r="J28" s="44" t="s">
        <v>31</v>
      </c>
      <c r="K28" s="44" t="s">
        <v>31</v>
      </c>
      <c r="L28" s="44" t="s">
        <v>31</v>
      </c>
      <c r="M28" s="44" t="s">
        <v>31</v>
      </c>
      <c r="N28" s="44" t="s">
        <v>31</v>
      </c>
    </row>
    <row r="29" spans="1:16" ht="15.75">
      <c r="A29" t="s">
        <v>1302</v>
      </c>
      <c r="B29">
        <f>0.9*B28</f>
        <v>0.9</v>
      </c>
      <c r="D29" t="s">
        <v>37</v>
      </c>
      <c r="E29" s="46" t="s">
        <v>40</v>
      </c>
      <c r="F29" s="42" t="s">
        <v>1698</v>
      </c>
      <c r="G29" t="s">
        <v>58</v>
      </c>
      <c r="H29" t="s">
        <v>243</v>
      </c>
      <c r="I29" s="42">
        <v>0</v>
      </c>
      <c r="J29" s="44" t="s">
        <v>31</v>
      </c>
      <c r="K29" s="44" t="s">
        <v>31</v>
      </c>
      <c r="L29" s="44" t="s">
        <v>31</v>
      </c>
      <c r="M29" s="44" t="s">
        <v>31</v>
      </c>
      <c r="N29" s="44" t="s">
        <v>31</v>
      </c>
      <c r="O29" s="42" t="s">
        <v>1301</v>
      </c>
    </row>
    <row r="30" spans="1:16" ht="15.75">
      <c r="A30" t="s">
        <v>380</v>
      </c>
      <c r="B30" s="23">
        <f>-(1-B29)</f>
        <v>-9.9999999999999978E-2</v>
      </c>
      <c r="D30" t="s">
        <v>37</v>
      </c>
      <c r="E30" s="47" t="s">
        <v>40</v>
      </c>
      <c r="F30" s="42" t="s">
        <v>1698</v>
      </c>
      <c r="G30" t="s">
        <v>58</v>
      </c>
      <c r="H30" t="s">
        <v>33</v>
      </c>
      <c r="I30">
        <v>0</v>
      </c>
      <c r="J30" t="s">
        <v>31</v>
      </c>
      <c r="K30" t="s">
        <v>31</v>
      </c>
      <c r="L30" t="s">
        <v>31</v>
      </c>
      <c r="M30" t="s">
        <v>31</v>
      </c>
      <c r="N30" t="s">
        <v>31</v>
      </c>
      <c r="O30" s="17"/>
      <c r="P30" s="42"/>
    </row>
    <row r="31" spans="1:16" s="41" customFormat="1" ht="15.75">
      <c r="A31" s="38" t="s">
        <v>5</v>
      </c>
      <c r="B31" s="38" t="s">
        <v>1701</v>
      </c>
      <c r="C31" s="38"/>
      <c r="D31" s="39"/>
      <c r="E31" s="40"/>
      <c r="F31" s="40"/>
      <c r="G31" s="40"/>
      <c r="H31" s="40"/>
      <c r="I31" s="40"/>
      <c r="J31" s="40"/>
      <c r="K31" s="40"/>
      <c r="L31" s="40"/>
      <c r="M31" s="40"/>
      <c r="N31" s="40"/>
      <c r="O31" s="40"/>
      <c r="P31" s="40"/>
    </row>
    <row r="32" spans="1:16">
      <c r="A32" s="42" t="s">
        <v>7</v>
      </c>
      <c r="B32" s="42" t="s">
        <v>1349</v>
      </c>
      <c r="C32" s="42"/>
      <c r="D32" s="42"/>
      <c r="E32" s="42"/>
      <c r="F32" s="42"/>
      <c r="G32" s="42"/>
      <c r="H32" s="42"/>
      <c r="I32" s="42"/>
      <c r="J32" s="42"/>
      <c r="K32" s="42"/>
      <c r="L32" s="42"/>
      <c r="M32" s="42"/>
      <c r="N32" s="42"/>
      <c r="O32" s="42"/>
      <c r="P32" s="42"/>
    </row>
    <row r="33" spans="1:16">
      <c r="A33" s="42" t="s">
        <v>9</v>
      </c>
      <c r="B33" s="43" t="s">
        <v>1702</v>
      </c>
      <c r="C33" s="42"/>
      <c r="D33" s="42"/>
      <c r="E33" s="42"/>
      <c r="F33" s="42"/>
      <c r="G33" s="42"/>
      <c r="H33" s="42"/>
      <c r="I33" s="42"/>
      <c r="J33" s="42"/>
      <c r="K33" s="42"/>
      <c r="L33" s="42"/>
      <c r="M33" s="42"/>
      <c r="N33" s="42"/>
      <c r="O33" s="42"/>
      <c r="P33" s="42"/>
    </row>
    <row r="34" spans="1:16">
      <c r="A34" s="42" t="s">
        <v>11</v>
      </c>
      <c r="B34" s="42" t="s">
        <v>1697</v>
      </c>
      <c r="C34" s="42"/>
      <c r="D34" s="42"/>
      <c r="E34" s="42"/>
      <c r="F34" s="42"/>
      <c r="G34" s="42"/>
      <c r="H34" s="42"/>
      <c r="I34" s="42"/>
      <c r="J34" s="42"/>
      <c r="K34" s="42"/>
      <c r="L34" s="42"/>
      <c r="M34" s="42"/>
      <c r="N34" s="42"/>
      <c r="O34" s="42"/>
      <c r="P34" s="42"/>
    </row>
    <row r="35" spans="1:16">
      <c r="A35" s="42" t="s">
        <v>13</v>
      </c>
      <c r="B35" s="42" t="s">
        <v>58</v>
      </c>
      <c r="C35" s="42"/>
      <c r="D35" s="42"/>
      <c r="E35" s="42"/>
      <c r="F35" s="42"/>
      <c r="G35" s="42"/>
      <c r="H35" s="42"/>
      <c r="I35" s="42"/>
      <c r="J35" s="42"/>
      <c r="K35" s="42"/>
      <c r="L35" s="42"/>
      <c r="M35" s="42"/>
      <c r="N35" s="42"/>
      <c r="O35" s="42"/>
      <c r="P35" s="42"/>
    </row>
    <row r="36" spans="1:16">
      <c r="A36" s="42" t="s">
        <v>15</v>
      </c>
      <c r="B36" s="42">
        <v>1</v>
      </c>
      <c r="C36" s="42"/>
      <c r="D36" s="42"/>
      <c r="E36" s="42"/>
      <c r="F36" s="42"/>
      <c r="G36" s="42"/>
      <c r="H36" s="42"/>
      <c r="I36" s="42"/>
      <c r="J36" s="42"/>
      <c r="K36" s="42"/>
      <c r="L36" s="42"/>
      <c r="M36" s="42"/>
      <c r="N36" s="42"/>
      <c r="O36" s="42"/>
      <c r="P36" s="42"/>
    </row>
    <row r="37" spans="1:16">
      <c r="A37" s="42" t="s">
        <v>16</v>
      </c>
      <c r="B37" s="42" t="s">
        <v>17</v>
      </c>
      <c r="C37" s="42"/>
      <c r="D37" s="42"/>
      <c r="E37" s="42"/>
      <c r="F37" s="42"/>
      <c r="G37" s="42"/>
      <c r="H37" s="42"/>
      <c r="I37" s="42"/>
      <c r="J37" s="42"/>
      <c r="K37" s="42"/>
      <c r="L37" s="42"/>
      <c r="M37" s="42"/>
      <c r="N37" s="42"/>
      <c r="O37" s="42"/>
      <c r="P37" s="42"/>
    </row>
    <row r="38" spans="1:16" ht="15.75">
      <c r="A38" s="42" t="s">
        <v>18</v>
      </c>
      <c r="B38" s="44" t="s">
        <v>37</v>
      </c>
      <c r="C38" s="42"/>
      <c r="D38" s="42"/>
      <c r="E38" s="42" t="s">
        <v>197</v>
      </c>
      <c r="F38" s="42"/>
      <c r="G38" s="42"/>
      <c r="H38" s="42"/>
      <c r="I38" s="42"/>
      <c r="J38" s="42"/>
      <c r="K38" s="42"/>
      <c r="L38" s="42"/>
      <c r="M38" s="42"/>
      <c r="N38" s="42"/>
      <c r="O38" s="42"/>
      <c r="P38" s="42"/>
    </row>
    <row r="39" spans="1:16" ht="15.75">
      <c r="A39" s="45" t="s">
        <v>19</v>
      </c>
      <c r="B39" s="42"/>
      <c r="C39" s="42"/>
      <c r="D39" s="42"/>
      <c r="E39" s="42"/>
      <c r="F39" s="42"/>
      <c r="G39" s="42"/>
      <c r="H39" s="42"/>
      <c r="I39" s="42"/>
      <c r="J39" s="42"/>
      <c r="K39" s="42"/>
      <c r="L39" s="42"/>
      <c r="M39" s="42"/>
      <c r="N39" s="42"/>
      <c r="O39" s="42"/>
      <c r="P39" s="42"/>
    </row>
    <row r="40" spans="1:16" ht="15.75">
      <c r="A40" s="45" t="s">
        <v>20</v>
      </c>
      <c r="B40" s="45" t="s">
        <v>21</v>
      </c>
      <c r="C40" s="45" t="s">
        <v>198</v>
      </c>
      <c r="D40" s="45" t="s">
        <v>18</v>
      </c>
      <c r="E40" s="45" t="s">
        <v>22</v>
      </c>
      <c r="F40" s="45" t="s">
        <v>7</v>
      </c>
      <c r="G40" s="45" t="s">
        <v>13</v>
      </c>
      <c r="H40" s="45" t="s">
        <v>16</v>
      </c>
      <c r="I40" s="45" t="s">
        <v>23</v>
      </c>
      <c r="J40" s="45" t="s">
        <v>24</v>
      </c>
      <c r="K40" s="45" t="s">
        <v>25</v>
      </c>
      <c r="L40" s="45" t="s">
        <v>26</v>
      </c>
      <c r="M40" s="45" t="s">
        <v>27</v>
      </c>
      <c r="N40" s="45" t="s">
        <v>28</v>
      </c>
      <c r="O40" s="45" t="s">
        <v>11</v>
      </c>
      <c r="P40" s="45" t="s">
        <v>199</v>
      </c>
    </row>
    <row r="41" spans="1:16" ht="15.75">
      <c r="A41" s="44" t="str">
        <f>B31</f>
        <v>treatment of steel, H2 liquefaction, PEMFC-bat</v>
      </c>
      <c r="B41" s="44">
        <v>1</v>
      </c>
      <c r="C41" s="44"/>
      <c r="D41" s="44" t="s">
        <v>37</v>
      </c>
      <c r="E41" s="42" t="s">
        <v>2</v>
      </c>
      <c r="F41" s="42" t="s">
        <v>1698</v>
      </c>
      <c r="G41" s="44" t="s">
        <v>58</v>
      </c>
      <c r="H41" s="42" t="s">
        <v>30</v>
      </c>
      <c r="I41" s="42">
        <v>0</v>
      </c>
      <c r="J41" s="44" t="s">
        <v>31</v>
      </c>
      <c r="K41" s="44" t="s">
        <v>31</v>
      </c>
      <c r="L41" s="44" t="s">
        <v>31</v>
      </c>
      <c r="M41" s="44" t="s">
        <v>31</v>
      </c>
      <c r="N41" s="44" t="s">
        <v>31</v>
      </c>
      <c r="O41" s="44" t="s">
        <v>1419</v>
      </c>
      <c r="P41" s="42"/>
    </row>
    <row r="42" spans="1:16" ht="15.75">
      <c r="A42" t="s">
        <v>240</v>
      </c>
      <c r="B42" s="23">
        <v>0.85</v>
      </c>
      <c r="C42" s="44"/>
      <c r="D42" s="44" t="s">
        <v>37</v>
      </c>
      <c r="E42" s="47" t="s">
        <v>40</v>
      </c>
      <c r="F42" s="42" t="s">
        <v>1698</v>
      </c>
      <c r="G42" s="44" t="s">
        <v>128</v>
      </c>
      <c r="H42" s="42" t="s">
        <v>33</v>
      </c>
      <c r="I42" s="42">
        <v>0</v>
      </c>
      <c r="J42" s="44" t="s">
        <v>31</v>
      </c>
      <c r="K42" s="44" t="s">
        <v>31</v>
      </c>
      <c r="L42" s="44" t="s">
        <v>31</v>
      </c>
      <c r="M42" s="44" t="s">
        <v>31</v>
      </c>
      <c r="N42" s="44" t="s">
        <v>31</v>
      </c>
      <c r="O42" s="42"/>
      <c r="P42" s="42"/>
    </row>
    <row r="43" spans="1:16" ht="15.75">
      <c r="A43" t="s">
        <v>704</v>
      </c>
      <c r="B43" s="23">
        <f>0.9*B42</f>
        <v>0.76500000000000001</v>
      </c>
      <c r="C43" s="44"/>
      <c r="D43" s="44" t="s">
        <v>37</v>
      </c>
      <c r="E43" s="47" t="s">
        <v>40</v>
      </c>
      <c r="F43" s="42" t="s">
        <v>1698</v>
      </c>
      <c r="G43" s="44" t="s">
        <v>58</v>
      </c>
      <c r="H43" s="42" t="s">
        <v>243</v>
      </c>
      <c r="I43" s="42">
        <v>0</v>
      </c>
      <c r="J43" s="44" t="s">
        <v>31</v>
      </c>
      <c r="K43" s="44" t="s">
        <v>31</v>
      </c>
      <c r="L43" s="44" t="s">
        <v>31</v>
      </c>
      <c r="M43" s="44" t="s">
        <v>31</v>
      </c>
      <c r="N43" s="44" t="s">
        <v>31</v>
      </c>
      <c r="O43" s="42"/>
      <c r="P43" s="42" t="s">
        <v>1301</v>
      </c>
    </row>
    <row r="44" spans="1:16" ht="16.5" customHeight="1">
      <c r="A44" t="s">
        <v>380</v>
      </c>
      <c r="B44" s="23">
        <f>-(1-B43)</f>
        <v>-0.23499999999999999</v>
      </c>
      <c r="D44" t="s">
        <v>37</v>
      </c>
      <c r="E44" s="47" t="s">
        <v>40</v>
      </c>
      <c r="F44" s="42" t="s">
        <v>1698</v>
      </c>
      <c r="G44" t="s">
        <v>58</v>
      </c>
      <c r="H44" t="s">
        <v>33</v>
      </c>
      <c r="I44">
        <v>0</v>
      </c>
      <c r="J44" t="s">
        <v>31</v>
      </c>
      <c r="K44" t="s">
        <v>31</v>
      </c>
      <c r="L44" t="s">
        <v>31</v>
      </c>
      <c r="M44" t="s">
        <v>31</v>
      </c>
      <c r="N44" t="s">
        <v>31</v>
      </c>
      <c r="O44" s="17"/>
      <c r="P44" s="42" t="s">
        <v>1399</v>
      </c>
    </row>
    <row r="45" spans="1:16" s="41" customFormat="1" ht="15.75">
      <c r="A45" s="38" t="s">
        <v>5</v>
      </c>
      <c r="B45" s="38" t="s">
        <v>1703</v>
      </c>
      <c r="C45" s="38"/>
      <c r="D45" s="39"/>
      <c r="E45" s="40"/>
      <c r="F45" s="40"/>
      <c r="G45" s="40"/>
      <c r="H45" s="40"/>
      <c r="I45" s="40"/>
      <c r="J45" s="40"/>
      <c r="K45" s="40"/>
      <c r="L45" s="40"/>
      <c r="M45" s="40"/>
      <c r="N45" s="40"/>
      <c r="O45" s="40"/>
      <c r="P45" s="40"/>
    </row>
    <row r="46" spans="1:16">
      <c r="A46" s="42" t="s">
        <v>7</v>
      </c>
      <c r="B46" s="42" t="s">
        <v>1349</v>
      </c>
      <c r="C46" s="42"/>
      <c r="D46" s="42"/>
      <c r="E46" s="42"/>
      <c r="F46" s="42"/>
      <c r="G46" s="42"/>
      <c r="H46" s="42"/>
      <c r="I46" s="42"/>
      <c r="J46" s="42"/>
      <c r="K46" s="42"/>
      <c r="L46" s="42"/>
      <c r="M46" s="42"/>
      <c r="N46" s="42"/>
      <c r="O46" s="42"/>
      <c r="P46" s="42"/>
    </row>
    <row r="47" spans="1:16">
      <c r="A47" s="42" t="s">
        <v>9</v>
      </c>
      <c r="B47" s="43" t="s">
        <v>1704</v>
      </c>
      <c r="C47" s="42"/>
      <c r="D47" s="42"/>
      <c r="E47" s="42"/>
      <c r="F47" s="42"/>
      <c r="G47" s="42"/>
      <c r="H47" s="42"/>
      <c r="I47" s="42"/>
      <c r="J47" s="42"/>
      <c r="K47" s="42"/>
      <c r="L47" s="42"/>
      <c r="M47" s="42"/>
      <c r="N47" s="42"/>
      <c r="O47" s="42"/>
      <c r="P47" s="42"/>
    </row>
    <row r="48" spans="1:16">
      <c r="A48" s="42" t="s">
        <v>11</v>
      </c>
      <c r="B48" s="42" t="s">
        <v>1697</v>
      </c>
      <c r="C48" s="42"/>
      <c r="D48" s="42"/>
      <c r="E48" s="42"/>
      <c r="F48" s="42"/>
      <c r="G48" s="42"/>
      <c r="H48" s="42"/>
      <c r="I48" s="42"/>
      <c r="J48" s="42"/>
      <c r="K48" s="42"/>
      <c r="L48" s="42"/>
      <c r="M48" s="42"/>
      <c r="N48" s="42"/>
      <c r="O48" s="42"/>
      <c r="P48" s="42"/>
    </row>
    <row r="49" spans="1:16">
      <c r="A49" s="42" t="s">
        <v>13</v>
      </c>
      <c r="B49" s="42" t="s">
        <v>58</v>
      </c>
      <c r="C49" s="42"/>
      <c r="D49" s="42"/>
      <c r="E49" s="42"/>
      <c r="F49" s="42"/>
      <c r="G49" s="42"/>
      <c r="H49" s="42"/>
      <c r="I49" s="42"/>
      <c r="J49" s="42"/>
      <c r="K49" s="42"/>
      <c r="L49" s="42"/>
      <c r="M49" s="42"/>
      <c r="N49" s="42"/>
      <c r="O49" s="42"/>
      <c r="P49" s="42"/>
    </row>
    <row r="50" spans="1:16">
      <c r="A50" s="42" t="s">
        <v>15</v>
      </c>
      <c r="B50" s="42">
        <v>1</v>
      </c>
      <c r="C50" s="42"/>
      <c r="D50" s="42"/>
      <c r="E50" s="42"/>
      <c r="F50" s="42"/>
      <c r="G50" s="42"/>
      <c r="H50" s="42"/>
      <c r="I50" s="42"/>
      <c r="J50" s="42"/>
      <c r="K50" s="42"/>
      <c r="L50" s="42"/>
      <c r="M50" s="42"/>
      <c r="N50" s="42"/>
      <c r="O50" s="42"/>
      <c r="P50" s="42"/>
    </row>
    <row r="51" spans="1:16">
      <c r="A51" s="42" t="s">
        <v>16</v>
      </c>
      <c r="B51" s="42" t="s">
        <v>17</v>
      </c>
      <c r="C51" s="42"/>
      <c r="D51" s="42"/>
      <c r="E51" s="42"/>
      <c r="F51" s="42"/>
      <c r="G51" s="42"/>
      <c r="H51" s="42"/>
      <c r="I51" s="42"/>
      <c r="J51" s="42"/>
      <c r="K51" s="42"/>
      <c r="L51" s="42"/>
      <c r="M51" s="42"/>
      <c r="N51" s="42"/>
      <c r="O51" s="42"/>
      <c r="P51" s="42"/>
    </row>
    <row r="52" spans="1:16" ht="15.75">
      <c r="A52" s="42" t="s">
        <v>18</v>
      </c>
      <c r="B52" s="44" t="s">
        <v>37</v>
      </c>
      <c r="C52" s="42"/>
      <c r="D52" s="42"/>
      <c r="E52" s="42" t="s">
        <v>197</v>
      </c>
      <c r="F52" s="42"/>
      <c r="G52" s="42"/>
      <c r="H52" s="42"/>
      <c r="I52" s="42"/>
      <c r="J52" s="42"/>
      <c r="K52" s="42"/>
      <c r="L52" s="42"/>
      <c r="M52" s="42"/>
      <c r="N52" s="42"/>
      <c r="O52" s="42"/>
      <c r="P52" s="42"/>
    </row>
    <row r="53" spans="1:16" ht="15.75">
      <c r="A53" s="45" t="s">
        <v>19</v>
      </c>
      <c r="B53" s="42"/>
      <c r="C53" s="42"/>
      <c r="D53" s="42"/>
      <c r="E53" s="42"/>
      <c r="F53" s="42"/>
      <c r="G53" s="42"/>
      <c r="H53" s="42"/>
      <c r="I53" s="42"/>
      <c r="J53" s="42"/>
      <c r="K53" s="42"/>
      <c r="L53" s="42"/>
      <c r="M53" s="42"/>
      <c r="N53" s="42"/>
      <c r="O53" s="42"/>
      <c r="P53" s="42"/>
    </row>
    <row r="54" spans="1:16" ht="15.75">
      <c r="A54" s="45" t="s">
        <v>20</v>
      </c>
      <c r="B54" s="45" t="s">
        <v>21</v>
      </c>
      <c r="C54" s="45" t="s">
        <v>198</v>
      </c>
      <c r="D54" s="45" t="s">
        <v>18</v>
      </c>
      <c r="E54" s="45" t="s">
        <v>22</v>
      </c>
      <c r="F54" s="45" t="s">
        <v>7</v>
      </c>
      <c r="G54" s="45" t="s">
        <v>13</v>
      </c>
      <c r="H54" s="45" t="s">
        <v>16</v>
      </c>
      <c r="I54" s="45" t="s">
        <v>23</v>
      </c>
      <c r="J54" s="45" t="s">
        <v>24</v>
      </c>
      <c r="K54" s="45" t="s">
        <v>25</v>
      </c>
      <c r="L54" s="45" t="s">
        <v>26</v>
      </c>
      <c r="M54" s="45" t="s">
        <v>27</v>
      </c>
      <c r="N54" s="45" t="s">
        <v>28</v>
      </c>
      <c r="O54" s="45" t="s">
        <v>11</v>
      </c>
      <c r="P54" s="45" t="s">
        <v>199</v>
      </c>
    </row>
    <row r="55" spans="1:16" ht="15.75">
      <c r="A55" s="44" t="str">
        <f>B45</f>
        <v>treatment of concrete, H2 liquefaction, PEMFC-bat</v>
      </c>
      <c r="B55" s="44">
        <v>1</v>
      </c>
      <c r="C55" s="44"/>
      <c r="D55" s="44" t="s">
        <v>37</v>
      </c>
      <c r="E55" s="42" t="s">
        <v>2</v>
      </c>
      <c r="F55" s="42" t="s">
        <v>1698</v>
      </c>
      <c r="G55" s="44" t="s">
        <v>58</v>
      </c>
      <c r="H55" s="42" t="s">
        <v>30</v>
      </c>
      <c r="I55" s="42">
        <v>0</v>
      </c>
      <c r="J55" s="44" t="s">
        <v>31</v>
      </c>
      <c r="K55" s="44" t="s">
        <v>31</v>
      </c>
      <c r="L55" s="44" t="s">
        <v>31</v>
      </c>
      <c r="M55" s="44" t="s">
        <v>31</v>
      </c>
      <c r="N55" s="44" t="s">
        <v>31</v>
      </c>
      <c r="O55" s="44"/>
      <c r="P55" s="42"/>
    </row>
    <row r="56" spans="1:16" ht="15.75">
      <c r="A56" s="47" t="s">
        <v>1705</v>
      </c>
      <c r="B56">
        <v>-1</v>
      </c>
      <c r="D56" s="44" t="s">
        <v>37</v>
      </c>
      <c r="E56" s="42" t="s">
        <v>2</v>
      </c>
      <c r="F56" s="42" t="s">
        <v>1698</v>
      </c>
      <c r="G56" t="s">
        <v>128</v>
      </c>
      <c r="H56" t="s">
        <v>33</v>
      </c>
      <c r="I56" s="42">
        <v>0</v>
      </c>
      <c r="J56" s="44" t="s">
        <v>31</v>
      </c>
      <c r="K56" s="44" t="s">
        <v>31</v>
      </c>
      <c r="L56" s="44" t="s">
        <v>31</v>
      </c>
      <c r="M56" s="44" t="s">
        <v>31</v>
      </c>
      <c r="N56" s="44" t="s">
        <v>31</v>
      </c>
    </row>
    <row r="57" spans="1:16" s="41" customFormat="1" ht="15.75">
      <c r="A57" s="38" t="s">
        <v>5</v>
      </c>
      <c r="B57" s="38" t="s">
        <v>1695</v>
      </c>
      <c r="C57" s="38"/>
      <c r="D57" s="39"/>
      <c r="E57" s="40"/>
      <c r="F57" s="40"/>
      <c r="G57" s="40"/>
      <c r="H57" s="40"/>
      <c r="I57" s="40"/>
      <c r="J57" s="40"/>
      <c r="K57" s="40"/>
      <c r="L57" s="40"/>
      <c r="M57" s="40"/>
      <c r="N57" s="40"/>
      <c r="O57" s="40"/>
      <c r="P57" s="40"/>
    </row>
    <row r="58" spans="1:16">
      <c r="A58" s="42" t="s">
        <v>7</v>
      </c>
      <c r="B58" s="42" t="s">
        <v>1349</v>
      </c>
      <c r="C58" s="42"/>
      <c r="D58" s="42"/>
      <c r="E58" s="42"/>
      <c r="F58" s="42"/>
      <c r="G58" s="42"/>
      <c r="H58" s="42"/>
      <c r="I58" s="42"/>
      <c r="J58" s="42"/>
      <c r="K58" s="42"/>
      <c r="L58" s="42"/>
      <c r="M58" s="42"/>
      <c r="N58" s="42"/>
      <c r="O58" s="42"/>
      <c r="P58" s="42"/>
    </row>
    <row r="59" spans="1:16">
      <c r="A59" s="42" t="s">
        <v>9</v>
      </c>
      <c r="B59" s="43" t="s">
        <v>1706</v>
      </c>
      <c r="C59" s="42"/>
      <c r="D59" s="42"/>
      <c r="E59" s="42"/>
      <c r="F59" s="42"/>
      <c r="G59" s="42"/>
      <c r="H59" s="42"/>
      <c r="I59" s="42"/>
      <c r="J59" s="42"/>
      <c r="K59" s="42"/>
      <c r="L59" s="42"/>
      <c r="M59" s="42"/>
      <c r="N59" s="42"/>
      <c r="O59" s="42"/>
      <c r="P59" s="42"/>
    </row>
    <row r="60" spans="1:16">
      <c r="A60" s="42" t="s">
        <v>11</v>
      </c>
      <c r="B60" s="42" t="s">
        <v>1697</v>
      </c>
      <c r="C60" s="42"/>
      <c r="D60" s="42"/>
      <c r="E60" s="42"/>
      <c r="F60" s="42"/>
      <c r="G60" s="42"/>
      <c r="H60" s="42"/>
      <c r="I60" s="42"/>
      <c r="J60" s="42"/>
      <c r="K60" s="42"/>
      <c r="L60" s="42"/>
      <c r="M60" s="42"/>
      <c r="N60" s="42"/>
      <c r="O60" s="42"/>
      <c r="P60" s="42"/>
    </row>
    <row r="61" spans="1:16">
      <c r="A61" s="42" t="s">
        <v>13</v>
      </c>
      <c r="B61" s="42" t="s">
        <v>58</v>
      </c>
      <c r="C61" s="42"/>
      <c r="D61" s="42"/>
      <c r="E61" s="42"/>
      <c r="F61" s="42"/>
      <c r="G61" s="42"/>
      <c r="H61" s="42"/>
      <c r="I61" s="42"/>
      <c r="J61" s="42"/>
      <c r="K61" s="42"/>
      <c r="L61" s="42"/>
      <c r="M61" s="42"/>
      <c r="N61" s="42"/>
      <c r="O61" s="42"/>
      <c r="P61" s="42"/>
    </row>
    <row r="62" spans="1:16">
      <c r="A62" s="42" t="s">
        <v>15</v>
      </c>
      <c r="B62" s="42">
        <v>1</v>
      </c>
      <c r="C62" s="42"/>
      <c r="D62" s="42"/>
      <c r="E62" s="42"/>
      <c r="F62" s="42"/>
      <c r="G62" s="42"/>
      <c r="H62" s="42"/>
      <c r="I62" s="42"/>
      <c r="J62" s="42"/>
      <c r="K62" s="42"/>
      <c r="L62" s="42"/>
      <c r="M62" s="42"/>
      <c r="N62" s="42"/>
      <c r="O62" s="42"/>
      <c r="P62" s="42"/>
    </row>
    <row r="63" spans="1:16">
      <c r="A63" s="42" t="s">
        <v>16</v>
      </c>
      <c r="B63" s="42" t="s">
        <v>17</v>
      </c>
      <c r="C63" s="42"/>
      <c r="D63" s="42"/>
      <c r="E63" s="42"/>
      <c r="F63" s="42"/>
      <c r="G63" s="42"/>
      <c r="H63" s="42"/>
      <c r="I63" s="42"/>
      <c r="J63" s="42"/>
      <c r="K63" s="42"/>
      <c r="L63" s="42"/>
      <c r="M63" s="42"/>
      <c r="N63" s="42"/>
      <c r="O63" s="42"/>
      <c r="P63" s="42"/>
    </row>
    <row r="64" spans="1:16" ht="15.75">
      <c r="A64" s="42" t="s">
        <v>18</v>
      </c>
      <c r="B64" s="44" t="s">
        <v>18</v>
      </c>
      <c r="C64" s="42"/>
      <c r="D64" s="42"/>
      <c r="E64" s="42" t="s">
        <v>197</v>
      </c>
      <c r="F64" s="42"/>
      <c r="G64" s="42"/>
      <c r="H64" s="42"/>
      <c r="I64" s="42"/>
      <c r="J64" s="42"/>
      <c r="K64" s="42"/>
      <c r="L64" s="42"/>
      <c r="M64" s="42"/>
      <c r="N64" s="42"/>
      <c r="O64" s="42"/>
      <c r="P64" s="42"/>
    </row>
    <row r="65" spans="1:21" ht="15.75">
      <c r="A65" s="45" t="s">
        <v>19</v>
      </c>
      <c r="B65" s="42"/>
      <c r="C65" s="42"/>
      <c r="D65" s="42"/>
      <c r="E65" s="42"/>
      <c r="F65" s="42"/>
      <c r="G65" s="42"/>
      <c r="H65" s="42"/>
      <c r="I65" s="42"/>
      <c r="J65" s="42"/>
      <c r="K65" s="42"/>
      <c r="L65" s="42"/>
      <c r="M65" s="42"/>
      <c r="N65" s="42"/>
      <c r="O65" s="42"/>
      <c r="P65" s="42"/>
    </row>
    <row r="66" spans="1:21" ht="15.75">
      <c r="A66" s="45" t="s">
        <v>20</v>
      </c>
      <c r="B66" s="45" t="s">
        <v>21</v>
      </c>
      <c r="C66" s="45" t="s">
        <v>198</v>
      </c>
      <c r="D66" s="45" t="s">
        <v>18</v>
      </c>
      <c r="E66" s="45" t="s">
        <v>22</v>
      </c>
      <c r="F66" s="45" t="s">
        <v>7</v>
      </c>
      <c r="G66" s="45" t="s">
        <v>13</v>
      </c>
      <c r="H66" s="45" t="s">
        <v>16</v>
      </c>
      <c r="I66" s="45" t="s">
        <v>23</v>
      </c>
      <c r="J66" s="45" t="s">
        <v>24</v>
      </c>
      <c r="K66" s="45" t="s">
        <v>25</v>
      </c>
      <c r="L66" s="45" t="s">
        <v>26</v>
      </c>
      <c r="M66" s="45" t="s">
        <v>27</v>
      </c>
      <c r="N66" s="45" t="s">
        <v>28</v>
      </c>
      <c r="O66" s="45" t="s">
        <v>11</v>
      </c>
      <c r="P66" s="45" t="s">
        <v>199</v>
      </c>
    </row>
    <row r="67" spans="1:21" ht="15.75">
      <c r="A67" s="44" t="str">
        <f>B57</f>
        <v>treatment of H2 liquefaction system, H2 liquefaction, PEMFC-bat</v>
      </c>
      <c r="B67" s="44">
        <v>1</v>
      </c>
      <c r="C67" s="44"/>
      <c r="D67" s="44" t="s">
        <v>18</v>
      </c>
      <c r="E67" s="42" t="s">
        <v>2</v>
      </c>
      <c r="F67" s="42" t="s">
        <v>1698</v>
      </c>
      <c r="G67" s="44" t="s">
        <v>58</v>
      </c>
      <c r="H67" s="42" t="s">
        <v>30</v>
      </c>
      <c r="I67" s="42">
        <v>0</v>
      </c>
      <c r="J67" s="44" t="s">
        <v>31</v>
      </c>
      <c r="K67" s="44" t="s">
        <v>31</v>
      </c>
      <c r="L67" s="44" t="s">
        <v>31</v>
      </c>
      <c r="M67" s="44" t="s">
        <v>31</v>
      </c>
      <c r="N67" s="44" t="s">
        <v>31</v>
      </c>
      <c r="O67" s="44"/>
      <c r="P67" s="42"/>
    </row>
    <row r="68" spans="1:21" ht="15.75">
      <c r="A68" t="s">
        <v>1703</v>
      </c>
      <c r="B68">
        <f>T68</f>
        <v>53636</v>
      </c>
      <c r="D68" s="44" t="s">
        <v>37</v>
      </c>
      <c r="E68" t="s">
        <v>2</v>
      </c>
      <c r="F68" t="s">
        <v>1698</v>
      </c>
      <c r="G68" t="s">
        <v>58</v>
      </c>
      <c r="H68" t="s">
        <v>30</v>
      </c>
      <c r="I68">
        <v>0</v>
      </c>
      <c r="J68" t="s">
        <v>31</v>
      </c>
      <c r="K68" t="s">
        <v>31</v>
      </c>
      <c r="L68" t="s">
        <v>31</v>
      </c>
      <c r="M68" t="s">
        <v>31</v>
      </c>
      <c r="N68" t="s">
        <v>31</v>
      </c>
      <c r="P68" t="s">
        <v>1707</v>
      </c>
      <c r="S68" t="s">
        <v>1708</v>
      </c>
      <c r="T68">
        <f>23.32*2300</f>
        <v>53636</v>
      </c>
      <c r="U68" t="s">
        <v>221</v>
      </c>
    </row>
    <row r="69" spans="1:21" ht="15.75">
      <c r="A69" t="s">
        <v>1701</v>
      </c>
      <c r="B69">
        <v>975000</v>
      </c>
      <c r="D69" s="44" t="s">
        <v>37</v>
      </c>
      <c r="E69" t="s">
        <v>2</v>
      </c>
      <c r="F69" t="s">
        <v>1698</v>
      </c>
      <c r="G69" t="s">
        <v>58</v>
      </c>
      <c r="H69" t="s">
        <v>30</v>
      </c>
      <c r="I69">
        <v>0</v>
      </c>
      <c r="J69" t="s">
        <v>31</v>
      </c>
      <c r="K69" t="s">
        <v>31</v>
      </c>
      <c r="L69" t="s">
        <v>31</v>
      </c>
      <c r="M69" t="s">
        <v>31</v>
      </c>
      <c r="N69" t="s">
        <v>31</v>
      </c>
    </row>
    <row r="70" spans="1:21" ht="15.75">
      <c r="A70" t="s">
        <v>1699</v>
      </c>
      <c r="B70" s="26">
        <v>150000</v>
      </c>
      <c r="D70" s="44" t="s">
        <v>37</v>
      </c>
      <c r="E70" t="s">
        <v>2</v>
      </c>
      <c r="F70" t="s">
        <v>1698</v>
      </c>
      <c r="G70" t="s">
        <v>58</v>
      </c>
      <c r="H70" t="s">
        <v>30</v>
      </c>
      <c r="I70">
        <v>0</v>
      </c>
      <c r="J70" t="s">
        <v>31</v>
      </c>
      <c r="K70" t="s">
        <v>31</v>
      </c>
      <c r="L70" t="s">
        <v>31</v>
      </c>
      <c r="M70" t="s">
        <v>31</v>
      </c>
      <c r="N70" t="s">
        <v>31</v>
      </c>
    </row>
    <row r="71" spans="1:21" ht="15.75">
      <c r="A71" t="s">
        <v>1696</v>
      </c>
      <c r="B71" s="26">
        <v>140000</v>
      </c>
      <c r="D71" s="44" t="s">
        <v>37</v>
      </c>
      <c r="E71" t="s">
        <v>2</v>
      </c>
      <c r="F71" t="s">
        <v>1698</v>
      </c>
      <c r="G71" t="s">
        <v>58</v>
      </c>
      <c r="H71" t="s">
        <v>30</v>
      </c>
      <c r="I71">
        <v>0</v>
      </c>
      <c r="J71" t="s">
        <v>31</v>
      </c>
      <c r="K71" t="s">
        <v>31</v>
      </c>
      <c r="L71" t="s">
        <v>31</v>
      </c>
      <c r="M71" t="s">
        <v>31</v>
      </c>
      <c r="N71" t="s">
        <v>31</v>
      </c>
    </row>
    <row r="76" spans="1:21">
      <c r="A76" s="26"/>
      <c r="B76" s="26"/>
      <c r="C76" s="26"/>
      <c r="D76" s="26"/>
      <c r="E76" s="26"/>
      <c r="F76" s="26"/>
      <c r="G76" s="26"/>
      <c r="H76" s="26"/>
      <c r="I76" s="26"/>
      <c r="J76" s="26"/>
      <c r="K76" s="26"/>
      <c r="L76" s="26"/>
      <c r="M76" s="26"/>
      <c r="N76" s="26"/>
    </row>
    <row r="77" spans="1:21">
      <c r="A77" s="26"/>
      <c r="B77" s="26"/>
      <c r="C77" s="26"/>
      <c r="D77" s="26"/>
      <c r="E77" s="26"/>
      <c r="F77" s="26"/>
      <c r="G77" s="26"/>
      <c r="H77" s="26"/>
      <c r="I77" s="26"/>
      <c r="J77" s="26"/>
      <c r="K77" s="26"/>
      <c r="L77" s="26"/>
      <c r="M77" s="26"/>
    </row>
    <row r="78" spans="1:21">
      <c r="A78" s="26"/>
      <c r="B78" s="26"/>
      <c r="C78" s="26"/>
      <c r="D78" s="26"/>
      <c r="E78" s="26"/>
      <c r="F78" s="26"/>
      <c r="G78" s="26"/>
      <c r="H78" s="26"/>
      <c r="I78" s="26"/>
      <c r="J78" s="26"/>
      <c r="K78" s="26"/>
      <c r="L78" s="26"/>
      <c r="M78" s="26"/>
    </row>
    <row r="79" spans="1:21">
      <c r="A79" s="26"/>
      <c r="B79" s="26"/>
      <c r="C79" s="26"/>
      <c r="D79" s="26"/>
      <c r="E79" s="26"/>
      <c r="F79" s="26"/>
      <c r="G79" s="26"/>
      <c r="H79" s="26"/>
      <c r="I79" s="26"/>
      <c r="J79" s="26"/>
      <c r="K79" s="26"/>
      <c r="L79" s="26"/>
      <c r="M79" s="26"/>
    </row>
    <row r="80" spans="1:21">
      <c r="A80" s="26"/>
      <c r="B80" s="26"/>
      <c r="C80" s="26"/>
      <c r="D80" s="26"/>
      <c r="E80" s="26"/>
      <c r="F80" s="26"/>
      <c r="G80" s="26"/>
      <c r="H80" s="26"/>
      <c r="I80" s="26"/>
      <c r="J80" s="26"/>
      <c r="K80" s="26"/>
      <c r="L80" s="26"/>
      <c r="M80" s="26"/>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AE94B-AA6F-4F64-A6E9-9AF958CCFA47}">
  <dimension ref="A1:O32"/>
  <sheetViews>
    <sheetView topLeftCell="A3" zoomScale="70" zoomScaleNormal="70" workbookViewId="0">
      <selection activeCell="H26" sqref="H26"/>
    </sheetView>
  </sheetViews>
  <sheetFormatPr defaultRowHeight="15"/>
  <cols>
    <col min="1" max="1" width="44.42578125" bestFit="1" customWidth="1"/>
    <col min="2" max="2" width="54.28515625" bestFit="1" customWidth="1"/>
  </cols>
  <sheetData>
    <row r="1" spans="1:15">
      <c r="A1" s="24" t="s">
        <v>0</v>
      </c>
      <c r="B1" s="24">
        <v>13</v>
      </c>
      <c r="C1" s="25"/>
      <c r="D1" s="24"/>
      <c r="E1" s="24"/>
      <c r="F1" s="24"/>
      <c r="G1" s="24"/>
      <c r="H1" s="24"/>
      <c r="I1" s="24"/>
      <c r="J1" s="24"/>
      <c r="K1" s="24"/>
      <c r="L1" s="24"/>
      <c r="M1" s="24"/>
      <c r="N1" s="24"/>
      <c r="O1" s="26" t="str">
        <f ca="1">UPPER(CONCATENATE(DEC2HEX(RANDBETWEEN(0,POWER(16,8)),8),DEC2HEX(RANDBETWEEN(0,POWER(16,4)),4),"4",DEC2HEX(RANDBETWEEN(0,POWER(16,3)),3),DEC2HEX(RANDBETWEEN(8,11)),DEC2HEX(RANDBETWEEN(0,POWER(16,3)),3),DEC2HEX(RANDBETWEEN(0,POWER(16,8)),8),DEC2HEX(RANDBETWEEN(0,POWER(16,4)),4)))</f>
        <v>22C57986BABB4B3ABFB4DF9B02BD40B9</v>
      </c>
    </row>
    <row r="2" spans="1:15" ht="15.75">
      <c r="A2" s="29" t="s">
        <v>5</v>
      </c>
      <c r="B2" s="29" t="s">
        <v>1606</v>
      </c>
      <c r="C2" s="30"/>
      <c r="D2" s="31"/>
      <c r="E2" s="31"/>
      <c r="F2" s="31"/>
      <c r="G2" s="31"/>
      <c r="H2" s="31"/>
      <c r="I2" s="31"/>
      <c r="J2" s="31"/>
      <c r="K2" s="31"/>
      <c r="L2" s="31"/>
      <c r="M2" s="31"/>
      <c r="N2" s="31"/>
      <c r="O2" s="24"/>
    </row>
    <row r="3" spans="1:15">
      <c r="A3" s="26" t="s">
        <v>7</v>
      </c>
      <c r="B3" s="26" t="s">
        <v>1583</v>
      </c>
      <c r="C3" s="26"/>
      <c r="D3" s="26"/>
      <c r="E3" s="26"/>
      <c r="F3" s="26"/>
      <c r="G3" s="26"/>
      <c r="H3" s="26"/>
      <c r="I3" s="26"/>
      <c r="J3" s="26"/>
      <c r="K3" s="26"/>
      <c r="L3" s="26"/>
      <c r="M3" s="26"/>
      <c r="N3" s="26"/>
      <c r="O3" s="26"/>
    </row>
    <row r="4" spans="1:15">
      <c r="A4" s="26" t="s">
        <v>9</v>
      </c>
      <c r="B4" s="26" t="s">
        <v>1709</v>
      </c>
      <c r="C4" s="26"/>
      <c r="D4" s="26"/>
      <c r="E4" s="26"/>
      <c r="F4" s="26"/>
      <c r="G4" s="26"/>
      <c r="H4" s="26"/>
      <c r="I4" s="26"/>
      <c r="J4" s="26"/>
      <c r="K4" s="26"/>
      <c r="L4" s="26"/>
      <c r="M4" s="26"/>
      <c r="N4" s="26"/>
      <c r="O4" s="26"/>
    </row>
    <row r="5" spans="1:15" ht="38.25">
      <c r="A5" s="26" t="s">
        <v>11</v>
      </c>
      <c r="B5" s="37" t="s">
        <v>1710</v>
      </c>
      <c r="C5" s="26"/>
      <c r="D5" s="26"/>
      <c r="E5" s="26"/>
      <c r="F5" s="26"/>
      <c r="G5" s="26"/>
      <c r="H5" s="26"/>
      <c r="I5" s="26"/>
      <c r="J5" s="26"/>
      <c r="K5" s="26"/>
      <c r="L5" s="26"/>
      <c r="M5" s="26"/>
      <c r="N5" s="26"/>
      <c r="O5" s="26"/>
    </row>
    <row r="6" spans="1:15">
      <c r="A6" s="26" t="s">
        <v>13</v>
      </c>
      <c r="B6" s="26" t="s">
        <v>14</v>
      </c>
      <c r="C6" s="26"/>
      <c r="D6" s="26"/>
      <c r="E6" s="26"/>
      <c r="F6" s="26"/>
      <c r="G6" s="26"/>
      <c r="H6" s="26"/>
      <c r="I6" s="26"/>
      <c r="J6" s="26"/>
      <c r="K6" s="26"/>
      <c r="L6" s="26"/>
      <c r="M6" s="26"/>
      <c r="N6" s="26"/>
      <c r="O6" s="26"/>
    </row>
    <row r="7" spans="1:15">
      <c r="A7" s="26" t="s">
        <v>15</v>
      </c>
      <c r="B7" s="32">
        <v>1</v>
      </c>
      <c r="C7" s="26"/>
      <c r="D7" s="26"/>
      <c r="E7" s="26"/>
      <c r="F7" s="26"/>
      <c r="G7" s="26"/>
      <c r="H7" s="26"/>
      <c r="I7" s="26"/>
      <c r="J7" s="26"/>
      <c r="K7" s="26"/>
      <c r="L7" s="26"/>
      <c r="M7" s="26"/>
      <c r="N7" s="26"/>
      <c r="O7" s="26"/>
    </row>
    <row r="8" spans="1:15">
      <c r="A8" s="26" t="s">
        <v>16</v>
      </c>
      <c r="B8" s="26" t="s">
        <v>17</v>
      </c>
      <c r="C8" s="26"/>
      <c r="D8" s="26"/>
      <c r="E8" s="26"/>
      <c r="F8" s="26"/>
      <c r="G8" s="26"/>
      <c r="H8" s="26"/>
      <c r="I8" s="26"/>
      <c r="J8" s="26"/>
      <c r="K8" s="26"/>
      <c r="L8" s="26"/>
      <c r="M8" s="26"/>
      <c r="N8" s="26"/>
      <c r="O8" s="26"/>
    </row>
    <row r="9" spans="1:15">
      <c r="A9" s="26" t="s">
        <v>18</v>
      </c>
      <c r="B9" s="26" t="s">
        <v>18</v>
      </c>
      <c r="C9" s="26"/>
      <c r="D9" s="26"/>
      <c r="E9" s="26"/>
      <c r="F9" s="26"/>
      <c r="G9" s="26"/>
      <c r="H9" s="26"/>
      <c r="I9" s="26"/>
      <c r="J9" s="26"/>
      <c r="K9" s="26"/>
      <c r="L9" s="26"/>
      <c r="M9" s="26"/>
      <c r="N9" s="26"/>
      <c r="O9" s="26"/>
    </row>
    <row r="10" spans="1:15" ht="15.75">
      <c r="A10" s="27" t="s">
        <v>19</v>
      </c>
      <c r="B10" s="24"/>
      <c r="C10" s="24"/>
      <c r="D10" s="24"/>
      <c r="E10" s="24"/>
      <c r="F10" s="24"/>
      <c r="G10" s="24"/>
      <c r="H10" s="24"/>
      <c r="I10" s="24"/>
      <c r="J10" s="24"/>
      <c r="K10" s="24"/>
      <c r="L10" s="24"/>
      <c r="M10" s="24"/>
      <c r="N10" s="24"/>
      <c r="O10" s="24"/>
    </row>
    <row r="11" spans="1:15" ht="15.75">
      <c r="A11" s="27" t="s">
        <v>20</v>
      </c>
      <c r="B11" s="27" t="s">
        <v>21</v>
      </c>
      <c r="C11" s="27" t="s">
        <v>18</v>
      </c>
      <c r="D11" s="27" t="s">
        <v>22</v>
      </c>
      <c r="E11" s="27" t="s">
        <v>7</v>
      </c>
      <c r="F11" s="27" t="s">
        <v>13</v>
      </c>
      <c r="G11" s="27" t="s">
        <v>16</v>
      </c>
      <c r="H11" s="27" t="s">
        <v>23</v>
      </c>
      <c r="I11" s="27" t="s">
        <v>24</v>
      </c>
      <c r="J11" s="27" t="s">
        <v>25</v>
      </c>
      <c r="K11" s="27" t="s">
        <v>26</v>
      </c>
      <c r="L11" s="27" t="s">
        <v>27</v>
      </c>
      <c r="M11" s="27" t="s">
        <v>28</v>
      </c>
      <c r="N11" s="27" t="s">
        <v>68</v>
      </c>
      <c r="O11" s="24"/>
    </row>
    <row r="12" spans="1:15">
      <c r="A12" s="26" t="s">
        <v>1606</v>
      </c>
      <c r="B12" s="26">
        <f>B7</f>
        <v>1</v>
      </c>
      <c r="C12" s="26" t="str">
        <f>B9</f>
        <v>unit</v>
      </c>
      <c r="D12" s="26" t="s">
        <v>2</v>
      </c>
      <c r="E12" s="26" t="s">
        <v>29</v>
      </c>
      <c r="F12" s="26" t="str">
        <f>B6</f>
        <v>EUR</v>
      </c>
      <c r="G12" s="26" t="s">
        <v>30</v>
      </c>
      <c r="H12" s="26">
        <v>0</v>
      </c>
      <c r="I12" s="26">
        <f>B12</f>
        <v>1</v>
      </c>
      <c r="J12" s="26" t="s">
        <v>31</v>
      </c>
      <c r="K12" s="26" t="s">
        <v>31</v>
      </c>
      <c r="L12" s="26" t="s">
        <v>31</v>
      </c>
      <c r="M12" s="26" t="s">
        <v>31</v>
      </c>
      <c r="N12" s="26"/>
      <c r="O12" s="26"/>
    </row>
    <row r="13" spans="1:15">
      <c r="A13" s="26" t="s">
        <v>1711</v>
      </c>
      <c r="B13" s="26">
        <f>1*48.8/1000</f>
        <v>4.8799999999999996E-2</v>
      </c>
      <c r="C13" s="26" t="s">
        <v>560</v>
      </c>
      <c r="D13" s="26" t="s">
        <v>40</v>
      </c>
      <c r="E13" s="26" t="s">
        <v>29</v>
      </c>
      <c r="F13" s="26" t="s">
        <v>217</v>
      </c>
      <c r="G13" s="26" t="s">
        <v>33</v>
      </c>
      <c r="H13" s="26">
        <v>0</v>
      </c>
      <c r="I13" s="26">
        <f>B13</f>
        <v>4.8799999999999996E-2</v>
      </c>
      <c r="J13" s="26" t="s">
        <v>31</v>
      </c>
      <c r="K13" s="26" t="s">
        <v>31</v>
      </c>
      <c r="L13" s="26" t="s">
        <v>31</v>
      </c>
      <c r="M13" s="26" t="s">
        <v>31</v>
      </c>
      <c r="N13" s="26"/>
      <c r="O13" s="26"/>
    </row>
    <row r="14" spans="1:15">
      <c r="A14" s="26" t="s">
        <v>1712</v>
      </c>
      <c r="B14" s="33">
        <v>9.6499999999999997E-8</v>
      </c>
      <c r="C14" s="26" t="s">
        <v>18</v>
      </c>
      <c r="D14" s="26" t="s">
        <v>2</v>
      </c>
      <c r="E14" s="26" t="s">
        <v>29</v>
      </c>
      <c r="F14" s="26" t="s">
        <v>14</v>
      </c>
      <c r="G14" s="26" t="s">
        <v>33</v>
      </c>
      <c r="H14" s="26">
        <v>0</v>
      </c>
      <c r="I14" s="26">
        <f>B14</f>
        <v>9.6499999999999997E-8</v>
      </c>
      <c r="J14" s="26" t="s">
        <v>31</v>
      </c>
      <c r="K14" s="26" t="s">
        <v>31</v>
      </c>
      <c r="L14" s="26" t="s">
        <v>31</v>
      </c>
      <c r="M14" s="26" t="s">
        <v>31</v>
      </c>
      <c r="N14" s="26" t="s">
        <v>1713</v>
      </c>
      <c r="O14" s="26"/>
    </row>
    <row r="15" spans="1:15" ht="15.75">
      <c r="A15" s="29" t="s">
        <v>5</v>
      </c>
      <c r="B15" s="29" t="s">
        <v>1712</v>
      </c>
      <c r="C15" s="30"/>
      <c r="D15" s="31"/>
      <c r="E15" s="31"/>
      <c r="F15" s="31"/>
      <c r="G15" s="31"/>
      <c r="H15" s="31"/>
      <c r="I15" s="31"/>
      <c r="J15" s="31"/>
      <c r="K15" s="31"/>
      <c r="L15" s="31"/>
      <c r="M15" s="31"/>
      <c r="N15" s="31"/>
    </row>
    <row r="16" spans="1:15">
      <c r="A16" s="26" t="s">
        <v>7</v>
      </c>
      <c r="B16" s="26" t="s">
        <v>1583</v>
      </c>
      <c r="C16" s="26"/>
      <c r="D16" s="26"/>
      <c r="E16" s="26"/>
      <c r="F16" s="26"/>
      <c r="G16" s="26"/>
      <c r="H16" s="26"/>
      <c r="I16" s="26"/>
      <c r="J16" s="26"/>
      <c r="K16" s="26"/>
      <c r="L16" s="26"/>
      <c r="M16" s="26"/>
      <c r="N16" s="26"/>
    </row>
    <row r="17" spans="1:14">
      <c r="A17" s="26" t="s">
        <v>9</v>
      </c>
      <c r="B17" s="26" t="s">
        <v>1714</v>
      </c>
      <c r="C17" s="26"/>
      <c r="D17" s="26"/>
      <c r="E17" s="26"/>
      <c r="F17" s="26"/>
      <c r="G17" s="26"/>
      <c r="H17" s="26"/>
      <c r="I17" s="26"/>
      <c r="J17" s="26"/>
      <c r="K17" s="26"/>
      <c r="L17" s="26"/>
      <c r="M17" s="26"/>
      <c r="N17" s="26"/>
    </row>
    <row r="18" spans="1:14" ht="25.5">
      <c r="A18" s="26" t="s">
        <v>11</v>
      </c>
      <c r="B18" s="37" t="s">
        <v>1715</v>
      </c>
      <c r="C18" s="26"/>
      <c r="D18" s="26"/>
      <c r="E18" s="26"/>
      <c r="F18" s="26"/>
      <c r="G18" s="26"/>
      <c r="H18" s="26"/>
      <c r="I18" s="26"/>
      <c r="J18" s="26"/>
      <c r="K18" s="26"/>
      <c r="L18" s="26"/>
      <c r="M18" s="26"/>
      <c r="N18" s="26"/>
    </row>
    <row r="19" spans="1:14">
      <c r="A19" s="26" t="s">
        <v>13</v>
      </c>
      <c r="B19" s="26" t="s">
        <v>14</v>
      </c>
      <c r="C19" s="26"/>
      <c r="D19" s="26"/>
      <c r="E19" s="26"/>
      <c r="F19" s="26"/>
      <c r="G19" s="26"/>
      <c r="H19" s="26"/>
      <c r="I19" s="26"/>
      <c r="J19" s="26"/>
      <c r="K19" s="26"/>
      <c r="L19" s="26"/>
      <c r="M19" s="26"/>
      <c r="N19" s="26"/>
    </row>
    <row r="20" spans="1:14">
      <c r="A20" s="26" t="s">
        <v>15</v>
      </c>
      <c r="B20" s="32">
        <v>1</v>
      </c>
      <c r="C20" s="26"/>
      <c r="D20" s="26"/>
      <c r="E20" s="26"/>
      <c r="F20" s="26"/>
      <c r="G20" s="26"/>
      <c r="H20" s="26"/>
      <c r="I20" s="26"/>
      <c r="J20" s="26"/>
      <c r="K20" s="26"/>
      <c r="L20" s="26"/>
      <c r="M20" s="26"/>
      <c r="N20" s="26"/>
    </row>
    <row r="21" spans="1:14">
      <c r="A21" s="26" t="s">
        <v>16</v>
      </c>
      <c r="B21" s="26" t="s">
        <v>17</v>
      </c>
      <c r="C21" s="26"/>
      <c r="D21" s="26"/>
      <c r="E21" s="26"/>
      <c r="F21" s="26"/>
      <c r="G21" s="26"/>
      <c r="H21" s="26"/>
      <c r="I21" s="26"/>
      <c r="J21" s="26"/>
      <c r="K21" s="26"/>
      <c r="L21" s="26"/>
      <c r="M21" s="26"/>
      <c r="N21" s="26"/>
    </row>
    <row r="22" spans="1:14">
      <c r="A22" s="26" t="s">
        <v>18</v>
      </c>
      <c r="B22" s="26" t="s">
        <v>18</v>
      </c>
      <c r="C22" s="26"/>
      <c r="D22" s="26"/>
      <c r="E22" s="26"/>
      <c r="F22" s="26"/>
      <c r="G22" s="26"/>
      <c r="H22" s="26"/>
      <c r="I22" s="26"/>
      <c r="J22" s="26"/>
      <c r="K22" s="26"/>
      <c r="L22" s="26"/>
      <c r="M22" s="26"/>
      <c r="N22" s="26"/>
    </row>
    <row r="23" spans="1:14" ht="15.75">
      <c r="A23" s="27" t="s">
        <v>19</v>
      </c>
      <c r="B23" s="24"/>
      <c r="C23" s="24"/>
      <c r="D23" s="24"/>
      <c r="E23" s="24"/>
      <c r="F23" s="24"/>
      <c r="G23" s="24"/>
      <c r="H23" s="24"/>
      <c r="I23" s="24"/>
      <c r="J23" s="24"/>
      <c r="K23" s="24"/>
      <c r="L23" s="24"/>
      <c r="M23" s="24"/>
      <c r="N23" s="24"/>
    </row>
    <row r="24" spans="1:14" ht="15.75">
      <c r="A24" s="27" t="s">
        <v>20</v>
      </c>
      <c r="B24" s="27" t="s">
        <v>21</v>
      </c>
      <c r="C24" s="27" t="s">
        <v>18</v>
      </c>
      <c r="D24" s="27" t="s">
        <v>22</v>
      </c>
      <c r="E24" s="27" t="s">
        <v>7</v>
      </c>
      <c r="F24" s="27" t="s">
        <v>13</v>
      </c>
      <c r="G24" s="27" t="s">
        <v>16</v>
      </c>
      <c r="H24" s="27" t="s">
        <v>23</v>
      </c>
      <c r="I24" s="27" t="s">
        <v>24</v>
      </c>
      <c r="J24" s="27" t="s">
        <v>25</v>
      </c>
      <c r="K24" s="27" t="s">
        <v>26</v>
      </c>
      <c r="L24" s="27" t="s">
        <v>27</v>
      </c>
      <c r="M24" s="27" t="s">
        <v>28</v>
      </c>
      <c r="N24" s="27" t="s">
        <v>68</v>
      </c>
    </row>
    <row r="25" spans="1:14">
      <c r="A25" s="26" t="s">
        <v>1712</v>
      </c>
      <c r="B25" s="26">
        <v>1</v>
      </c>
      <c r="C25" s="26" t="str">
        <f>B22</f>
        <v>unit</v>
      </c>
      <c r="D25" s="26" t="s">
        <v>2</v>
      </c>
      <c r="E25" s="26" t="s">
        <v>29</v>
      </c>
      <c r="F25" s="26" t="str">
        <f>B19</f>
        <v>EUR</v>
      </c>
      <c r="G25" s="26" t="s">
        <v>30</v>
      </c>
      <c r="H25" s="26">
        <v>0</v>
      </c>
      <c r="I25" s="26">
        <f>B25</f>
        <v>1</v>
      </c>
      <c r="J25" s="26" t="s">
        <v>31</v>
      </c>
      <c r="K25" s="26" t="s">
        <v>31</v>
      </c>
      <c r="L25" s="26" t="s">
        <v>31</v>
      </c>
      <c r="M25" s="26" t="s">
        <v>31</v>
      </c>
      <c r="N25" s="26"/>
    </row>
    <row r="26" spans="1:14">
      <c r="A26" s="26" t="s">
        <v>238</v>
      </c>
      <c r="B26" s="26">
        <v>3141</v>
      </c>
      <c r="C26" s="26" t="s">
        <v>37</v>
      </c>
      <c r="D26" s="26" t="s">
        <v>40</v>
      </c>
      <c r="E26" s="26" t="s">
        <v>29</v>
      </c>
      <c r="F26" s="26" t="s">
        <v>58</v>
      </c>
      <c r="G26" s="26" t="s">
        <v>33</v>
      </c>
      <c r="H26" s="26">
        <v>5</v>
      </c>
      <c r="I26" s="26">
        <f>B26</f>
        <v>3141</v>
      </c>
      <c r="J26" s="26" t="s">
        <v>31</v>
      </c>
      <c r="K26" s="26" t="s">
        <v>31</v>
      </c>
      <c r="L26" s="26">
        <f>I26*0.9</f>
        <v>2826.9</v>
      </c>
      <c r="M26" s="26">
        <f>I26*1.1</f>
        <v>3455.1000000000004</v>
      </c>
      <c r="N26" s="26"/>
    </row>
    <row r="27" spans="1:14">
      <c r="A27" s="26" t="s">
        <v>1716</v>
      </c>
      <c r="B27" s="26">
        <v>3141</v>
      </c>
      <c r="C27" s="26" t="s">
        <v>37</v>
      </c>
      <c r="D27" s="26" t="s">
        <v>40</v>
      </c>
      <c r="E27" s="26" t="s">
        <v>29</v>
      </c>
      <c r="F27" s="26" t="s">
        <v>58</v>
      </c>
      <c r="G27" s="26" t="s">
        <v>33</v>
      </c>
      <c r="H27" s="26">
        <v>5</v>
      </c>
      <c r="I27" s="26">
        <f t="shared" ref="I27:I28" si="0">B27</f>
        <v>3141</v>
      </c>
      <c r="J27" s="26" t="s">
        <v>31</v>
      </c>
      <c r="K27" s="26" t="s">
        <v>31</v>
      </c>
      <c r="L27" s="26">
        <f>I27*0.9</f>
        <v>2826.9</v>
      </c>
      <c r="M27" s="26">
        <f>I27*1.1</f>
        <v>3455.1000000000004</v>
      </c>
      <c r="N27" s="26"/>
    </row>
    <row r="28" spans="1:14">
      <c r="A28" s="26" t="s">
        <v>627</v>
      </c>
      <c r="B28" s="26">
        <v>2256</v>
      </c>
      <c r="C28" s="26" t="s">
        <v>37</v>
      </c>
      <c r="D28" s="26" t="s">
        <v>40</v>
      </c>
      <c r="E28" s="26" t="s">
        <v>29</v>
      </c>
      <c r="F28" s="26" t="s">
        <v>35</v>
      </c>
      <c r="G28" s="26" t="s">
        <v>33</v>
      </c>
      <c r="H28" s="26">
        <v>5</v>
      </c>
      <c r="I28" s="26">
        <f t="shared" si="0"/>
        <v>2256</v>
      </c>
      <c r="J28" s="26" t="s">
        <v>31</v>
      </c>
      <c r="K28" s="26" t="s">
        <v>31</v>
      </c>
      <c r="L28" s="26">
        <f>I28*0.9</f>
        <v>2030.4</v>
      </c>
      <c r="M28" s="26">
        <f>I28*1.1</f>
        <v>2481.6000000000004</v>
      </c>
      <c r="N28" s="26"/>
    </row>
    <row r="29" spans="1:14">
      <c r="A29" s="26" t="s">
        <v>38</v>
      </c>
      <c r="B29" s="26">
        <v>1890</v>
      </c>
      <c r="C29" s="26" t="s">
        <v>39</v>
      </c>
      <c r="D29" s="26" t="s">
        <v>40</v>
      </c>
      <c r="E29" s="26" t="s">
        <v>29</v>
      </c>
      <c r="F29" s="26" t="s">
        <v>14</v>
      </c>
      <c r="G29" s="26" t="s">
        <v>33</v>
      </c>
      <c r="H29" s="26">
        <v>0</v>
      </c>
      <c r="I29" s="26">
        <f>B29</f>
        <v>1890</v>
      </c>
      <c r="J29" s="26" t="s">
        <v>31</v>
      </c>
      <c r="K29" s="26" t="s">
        <v>31</v>
      </c>
      <c r="L29" s="26" t="s">
        <v>31</v>
      </c>
      <c r="M29" s="26" t="s">
        <v>31</v>
      </c>
    </row>
    <row r="30" spans="1:14">
      <c r="A30" t="s">
        <v>1717</v>
      </c>
      <c r="B30" s="26">
        <v>1</v>
      </c>
      <c r="C30" s="26" t="s">
        <v>18</v>
      </c>
      <c r="D30" s="26" t="s">
        <v>40</v>
      </c>
      <c r="E30" s="26" t="s">
        <v>29</v>
      </c>
      <c r="F30" s="26" t="s">
        <v>58</v>
      </c>
      <c r="G30" s="26" t="s">
        <v>33</v>
      </c>
      <c r="H30" s="26">
        <v>0</v>
      </c>
      <c r="I30" s="26">
        <f t="shared" ref="I30" si="1">B30</f>
        <v>1</v>
      </c>
      <c r="J30" s="26" t="s">
        <v>31</v>
      </c>
      <c r="K30" s="26" t="s">
        <v>31</v>
      </c>
      <c r="L30" s="26" t="s">
        <v>31</v>
      </c>
      <c r="M30" s="26" t="s">
        <v>31</v>
      </c>
    </row>
    <row r="32" spans="1:14">
      <c r="E32" s="26"/>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76963-4262-47F1-BE27-4BD9EEB25397}">
  <dimension ref="A1:P18"/>
  <sheetViews>
    <sheetView zoomScale="85" zoomScaleNormal="85" workbookViewId="0">
      <selection sqref="A1:XFD2"/>
    </sheetView>
  </sheetViews>
  <sheetFormatPr defaultRowHeight="15"/>
  <cols>
    <col min="1" max="1" width="57.28515625" bestFit="1" customWidth="1"/>
    <col min="5" max="5" width="13.42578125" bestFit="1" customWidth="1"/>
    <col min="6" max="6" width="39.140625" bestFit="1" customWidth="1"/>
  </cols>
  <sheetData>
    <row r="1" spans="1:16" s="22" customFormat="1">
      <c r="A1" s="22" t="s">
        <v>3</v>
      </c>
      <c r="B1" s="22" t="s">
        <v>4</v>
      </c>
      <c r="D1" s="52"/>
    </row>
    <row r="2" spans="1:16" s="41" customFormat="1" ht="15.75">
      <c r="A2" s="38" t="s">
        <v>5</v>
      </c>
      <c r="B2" s="38" t="s">
        <v>57</v>
      </c>
      <c r="C2" s="38"/>
      <c r="D2" s="39"/>
      <c r="E2" s="40"/>
      <c r="F2" s="40"/>
      <c r="G2" s="40"/>
      <c r="H2" s="40"/>
      <c r="I2" s="40"/>
      <c r="J2" s="40"/>
      <c r="K2" s="40"/>
      <c r="L2" s="40"/>
      <c r="M2" s="40"/>
      <c r="N2" s="40"/>
      <c r="O2" s="40"/>
      <c r="P2" s="40"/>
    </row>
    <row r="3" spans="1:16">
      <c r="A3" s="42" t="s">
        <v>7</v>
      </c>
      <c r="B3" s="42" t="s">
        <v>194</v>
      </c>
      <c r="C3" s="42"/>
      <c r="D3" s="42"/>
      <c r="E3" s="42"/>
      <c r="F3" s="42"/>
      <c r="G3" s="42"/>
      <c r="H3" s="42"/>
      <c r="I3" s="42"/>
      <c r="J3" s="42"/>
      <c r="K3" s="42"/>
      <c r="L3" s="42"/>
      <c r="M3" s="42"/>
      <c r="N3" s="42"/>
      <c r="O3" s="42"/>
      <c r="P3" s="42"/>
    </row>
    <row r="4" spans="1:16">
      <c r="A4" s="42" t="s">
        <v>9</v>
      </c>
      <c r="B4" s="43" t="s">
        <v>195</v>
      </c>
      <c r="C4" s="42"/>
      <c r="D4" s="42"/>
      <c r="E4" s="42"/>
      <c r="F4" s="42"/>
      <c r="G4" s="42"/>
      <c r="H4" s="42"/>
      <c r="I4" s="42"/>
      <c r="J4" s="42"/>
      <c r="K4" s="42"/>
      <c r="L4" s="42"/>
      <c r="M4" s="42"/>
      <c r="N4" s="42"/>
      <c r="O4" s="42"/>
      <c r="P4" s="42"/>
    </row>
    <row r="5" spans="1:16">
      <c r="A5" s="42" t="s">
        <v>11</v>
      </c>
      <c r="B5" s="42" t="s">
        <v>196</v>
      </c>
      <c r="C5" s="42"/>
      <c r="D5" s="42"/>
      <c r="E5" s="42"/>
      <c r="F5" s="42"/>
      <c r="G5" s="42"/>
      <c r="H5" s="42"/>
      <c r="I5" s="42"/>
      <c r="J5" s="42"/>
      <c r="K5" s="42"/>
      <c r="L5" s="42"/>
      <c r="M5" s="42"/>
      <c r="N5" s="42"/>
      <c r="O5" s="42"/>
      <c r="P5" s="42"/>
    </row>
    <row r="6" spans="1:16">
      <c r="A6" s="42" t="s">
        <v>13</v>
      </c>
      <c r="B6" s="42" t="s">
        <v>58</v>
      </c>
      <c r="C6" s="42"/>
      <c r="D6" s="42"/>
      <c r="E6" s="42"/>
      <c r="F6" s="42"/>
      <c r="G6" s="42"/>
      <c r="H6" s="42"/>
      <c r="I6" s="42"/>
      <c r="J6" s="42"/>
      <c r="K6" s="42"/>
      <c r="L6" s="42"/>
      <c r="M6" s="42"/>
      <c r="N6" s="42"/>
      <c r="O6" s="42"/>
      <c r="P6" s="42"/>
    </row>
    <row r="7" spans="1:16">
      <c r="A7" s="42" t="s">
        <v>15</v>
      </c>
      <c r="B7" s="42">
        <v>1</v>
      </c>
      <c r="C7" s="42"/>
      <c r="D7" s="42"/>
      <c r="E7" s="42"/>
      <c r="F7" s="42"/>
      <c r="G7" s="42"/>
      <c r="H7" s="42"/>
      <c r="I7" s="42"/>
      <c r="J7" s="42"/>
      <c r="K7" s="42"/>
      <c r="L7" s="42"/>
      <c r="M7" s="42"/>
      <c r="N7" s="42"/>
      <c r="O7" s="42"/>
      <c r="P7" s="42"/>
    </row>
    <row r="8" spans="1:16">
      <c r="A8" s="42" t="s">
        <v>16</v>
      </c>
      <c r="B8" s="42" t="s">
        <v>17</v>
      </c>
      <c r="C8" s="42"/>
      <c r="D8" s="42"/>
      <c r="E8" s="42"/>
      <c r="F8" s="42"/>
      <c r="G8" s="42"/>
      <c r="H8" s="42"/>
      <c r="I8" s="42"/>
      <c r="J8" s="42"/>
      <c r="K8" s="42"/>
      <c r="L8" s="42"/>
      <c r="M8" s="42"/>
      <c r="N8" s="42"/>
      <c r="O8" s="42"/>
      <c r="P8" s="42"/>
    </row>
    <row r="9" spans="1:16" ht="15.75">
      <c r="A9" s="42" t="s">
        <v>18</v>
      </c>
      <c r="B9" s="44" t="s">
        <v>18</v>
      </c>
      <c r="C9" s="42"/>
      <c r="D9" s="42"/>
      <c r="E9" s="42" t="s">
        <v>197</v>
      </c>
      <c r="F9" s="42"/>
      <c r="G9" s="42"/>
      <c r="H9" s="42"/>
      <c r="I9" s="42"/>
      <c r="J9" s="42"/>
      <c r="K9" s="42"/>
      <c r="L9" s="42"/>
      <c r="M9" s="42"/>
      <c r="N9" s="42"/>
      <c r="O9" s="42"/>
      <c r="P9" s="42"/>
    </row>
    <row r="10" spans="1:16" ht="15.75">
      <c r="A10" s="45" t="s">
        <v>19</v>
      </c>
      <c r="B10" s="42"/>
      <c r="C10" s="42"/>
      <c r="D10" s="42"/>
      <c r="E10" s="42"/>
      <c r="F10" s="42"/>
      <c r="G10" s="42"/>
      <c r="H10" s="42"/>
      <c r="I10" s="42"/>
      <c r="J10" s="42"/>
      <c r="K10" s="42"/>
      <c r="L10" s="42"/>
      <c r="M10" s="42"/>
      <c r="N10" s="42"/>
      <c r="O10" s="42"/>
      <c r="P10" s="42"/>
    </row>
    <row r="11" spans="1:16"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16" ht="15.75">
      <c r="A12" s="44" t="str">
        <f>B2</f>
        <v>Decommissioning of aircraft, PEMFC-bat, Medium-Term</v>
      </c>
      <c r="B12" s="44">
        <v>1</v>
      </c>
      <c r="C12" s="44"/>
      <c r="D12" s="44" t="s">
        <v>18</v>
      </c>
      <c r="E12" s="42" t="s">
        <v>2</v>
      </c>
      <c r="F12" s="42" t="s">
        <v>194</v>
      </c>
      <c r="G12" s="44" t="s">
        <v>58</v>
      </c>
      <c r="H12" s="42" t="s">
        <v>30</v>
      </c>
      <c r="I12" s="42">
        <v>0</v>
      </c>
      <c r="J12" s="44" t="s">
        <v>31</v>
      </c>
      <c r="K12" s="44" t="s">
        <v>31</v>
      </c>
      <c r="L12" s="44" t="s">
        <v>31</v>
      </c>
      <c r="M12" s="44" t="s">
        <v>31</v>
      </c>
      <c r="N12" s="44" t="s">
        <v>31</v>
      </c>
      <c r="O12" s="44"/>
      <c r="P12" s="42"/>
    </row>
    <row r="13" spans="1:16">
      <c r="A13" t="str">
        <f>'Power elec EoL LCI'!A67</f>
        <v>treatment of power electronics, EoL power electronics, PEMFC-bat, Medium-Term</v>
      </c>
      <c r="B13">
        <f>'Power elec EoL LCI'!B67</f>
        <v>1</v>
      </c>
      <c r="D13" t="str">
        <f>'Power elec EoL LCI'!D67</f>
        <v>unit</v>
      </c>
      <c r="E13" t="str">
        <f>'Power elec EoL LCI'!E67</f>
        <v>GENESIS_2040_PEMFC-bat_NDC</v>
      </c>
      <c r="F13" t="str">
        <f>'Power elec EoL LCI'!F67</f>
        <v>EoL power electronics, PEMFC-bat, Medium-Term</v>
      </c>
      <c r="G13" t="str">
        <f>'Power elec EoL LCI'!G67</f>
        <v>GLO</v>
      </c>
      <c r="H13" t="s">
        <v>33</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LCI'!A84</f>
        <v>treatment of motors and drives, PEMFC-bat, Medium-Term</v>
      </c>
      <c r="B14">
        <f>'motors and drives EoL LCI'!B84</f>
        <v>1</v>
      </c>
      <c r="D14" t="str">
        <f>'motors and drives EoL LCI'!D84</f>
        <v>unit</v>
      </c>
      <c r="E14" t="str">
        <f>'motors and drives EoL LCI'!E84</f>
        <v>GENESIS_2040_PEMFC-bat_NDC</v>
      </c>
      <c r="F14" t="str">
        <f>'motors and drives EoL LCI'!F84</f>
        <v>motors and drives, PEMFC-bat, Medium-Term</v>
      </c>
      <c r="G14" t="str">
        <f>'motors and drives EoL LCI'!G84</f>
        <v>GLO</v>
      </c>
      <c r="H14" t="s">
        <v>33</v>
      </c>
      <c r="I14">
        <f>'motors and drives EoL LCI'!I84</f>
        <v>0</v>
      </c>
      <c r="J14" t="str">
        <f>'motors and drives EoL LCI'!J84</f>
        <v>(Unknown)</v>
      </c>
      <c r="K14" t="str">
        <f>'motors and drives EoL LCI'!K84</f>
        <v>(Unknown)</v>
      </c>
      <c r="L14" t="str">
        <f>'motors and drives EoL LCI'!L84</f>
        <v>(Unknown)</v>
      </c>
      <c r="M14" t="str">
        <f>'motors and drives EoL LCI'!M84</f>
        <v>(Unknown)</v>
      </c>
      <c r="N14" t="str">
        <f>'motors and drives EoL LCI'!N84</f>
        <v>(Unknown)</v>
      </c>
    </row>
    <row r="15" spans="1:16">
      <c r="A15" t="str">
        <f>'powerplant EoL LCI'!A125</f>
        <v>treatment of powerplant, PEMFC-bat, Medium-Term</v>
      </c>
      <c r="B15">
        <f>'powerplant EoL LCI'!B125</f>
        <v>1</v>
      </c>
      <c r="D15" t="str">
        <f>'powerplant EoL LCI'!D125</f>
        <v>unit</v>
      </c>
      <c r="E15" t="str">
        <f>'powerplant EoL LCI'!E125</f>
        <v>GENESIS_2040_PEMFC-bat_NDC</v>
      </c>
      <c r="F15" t="str">
        <f>'powerplant EoL LCI'!F125</f>
        <v>powerplant EoL, PEMFC-bat, Medium-Term</v>
      </c>
      <c r="G15" t="str">
        <f>'powerplant EoL LCI'!G125</f>
        <v>GLO</v>
      </c>
      <c r="H15" t="s">
        <v>33</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PEMFC-bat, Medium-Term</v>
      </c>
      <c r="B16">
        <f>'airframe EoL LCI'!B242</f>
        <v>1</v>
      </c>
      <c r="D16" t="str">
        <f>'airframe EoL LCI'!D242</f>
        <v>unit</v>
      </c>
      <c r="E16" t="str">
        <f>'airframe EoL LCI'!E242</f>
        <v>GENESIS_2040_PEMFC-bat_NDC</v>
      </c>
      <c r="F16" t="str">
        <f>'airframe EoL LCI'!F242</f>
        <v>airframe EoL, PEMFC-bat, Medium-Term</v>
      </c>
      <c r="G16" t="str">
        <f>'airframe EoL LCI'!G242</f>
        <v>GLO</v>
      </c>
      <c r="H16" t="s">
        <v>33</v>
      </c>
      <c r="I16">
        <f>'airframe EoL LCI'!I242</f>
        <v>0</v>
      </c>
      <c r="J16" t="str">
        <f>'airframe EoL LCI'!J242</f>
        <v>(Unknown)</v>
      </c>
      <c r="K16" t="str">
        <f>'airframe EoL LCI'!K242</f>
        <v>(Unknown)</v>
      </c>
      <c r="L16" t="str">
        <f>'airframe EoL LCI'!L242</f>
        <v>(Unknown)</v>
      </c>
      <c r="M16" t="str">
        <f>'airframe EoL LCI'!M242</f>
        <v>(Unknown)</v>
      </c>
      <c r="N16" t="str">
        <f>'airframe EoL LCI'!N242</f>
        <v>(Unknown)</v>
      </c>
    </row>
    <row r="17" spans="1:14">
      <c r="A17" t="str">
        <f>'H2 storage EoL'!A39</f>
        <v>treatment of H2 storage on-board</v>
      </c>
      <c r="B17">
        <v>1</v>
      </c>
      <c r="D17" t="s">
        <v>18</v>
      </c>
      <c r="E17" t="s">
        <v>2</v>
      </c>
      <c r="F17" s="42" t="s">
        <v>200</v>
      </c>
      <c r="G17" t="s">
        <v>58</v>
      </c>
      <c r="H17" t="s">
        <v>33</v>
      </c>
      <c r="I17">
        <f>'airframe EoL LCI'!I243</f>
        <v>0</v>
      </c>
      <c r="J17" t="str">
        <f>'airframe EoL LCI'!J243</f>
        <v>(Unknown)</v>
      </c>
      <c r="K17" t="str">
        <f>'airframe EoL LCI'!K243</f>
        <v>(Unknown)</v>
      </c>
      <c r="L17" t="str">
        <f>'airframe EoL LCI'!L243</f>
        <v>(Unknown)</v>
      </c>
      <c r="M17" t="str">
        <f>'airframe EoL LCI'!M243</f>
        <v>(Unknown)</v>
      </c>
      <c r="N17" t="str">
        <f>'airframe EoL LCI'!N243</f>
        <v>(Unknown)</v>
      </c>
    </row>
    <row r="18" spans="1:14" ht="15.75">
      <c r="A18" s="44" t="str">
        <f>'PEMFC EoL'!A91</f>
        <v>treatment of PEMFC cell ,PEMFC EoL, PEMFC-bat, Medium-Term</v>
      </c>
      <c r="B18">
        <v>4</v>
      </c>
      <c r="D18" t="s">
        <v>18</v>
      </c>
      <c r="E18" t="s">
        <v>2</v>
      </c>
      <c r="F18" s="42" t="s">
        <v>200</v>
      </c>
      <c r="G18" t="s">
        <v>58</v>
      </c>
      <c r="H18" t="s">
        <v>33</v>
      </c>
      <c r="I18">
        <f>'airframe EoL LCI'!I244</f>
        <v>0</v>
      </c>
      <c r="J18" t="str">
        <f>'airframe EoL LCI'!J244</f>
        <v>(Unknown)</v>
      </c>
      <c r="K18" t="str">
        <f>'airframe EoL LCI'!K244</f>
        <v>(Unknown)</v>
      </c>
      <c r="L18" t="str">
        <f>'airframe EoL LCI'!L244</f>
        <v>(Unknown)</v>
      </c>
      <c r="M18" t="str">
        <f>'airframe EoL LCI'!M244</f>
        <v>(Unknown)</v>
      </c>
      <c r="N18" t="str">
        <f>'airframe EoL LCI'!N244</f>
        <v>(Unknown)</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E1CD0-1F9E-4B14-831F-3AF4B2EBF9F8}">
  <dimension ref="A1:P42"/>
  <sheetViews>
    <sheetView zoomScale="85" zoomScaleNormal="85" workbookViewId="0">
      <selection activeCell="A41" sqref="A41"/>
    </sheetView>
  </sheetViews>
  <sheetFormatPr defaultRowHeight="15"/>
  <cols>
    <col min="1" max="1" width="73.7109375" bestFit="1" customWidth="1"/>
    <col min="5" max="5" width="30.5703125" bestFit="1" customWidth="1"/>
  </cols>
  <sheetData>
    <row r="1" spans="1:16">
      <c r="A1" t="s">
        <v>0</v>
      </c>
      <c r="B1">
        <v>14</v>
      </c>
    </row>
    <row r="2" spans="1:16" s="41" customFormat="1" ht="15.75">
      <c r="A2" s="38" t="s">
        <v>5</v>
      </c>
      <c r="B2" s="38" t="s">
        <v>1718</v>
      </c>
      <c r="C2" s="38"/>
      <c r="D2" s="39"/>
      <c r="E2" s="40"/>
      <c r="F2" s="40"/>
      <c r="G2" s="40"/>
      <c r="H2" s="40"/>
      <c r="I2" s="40"/>
      <c r="J2" s="40"/>
      <c r="K2" s="40"/>
      <c r="L2" s="40"/>
      <c r="M2" s="40"/>
      <c r="N2" s="40"/>
      <c r="O2" s="40"/>
      <c r="P2" s="40"/>
    </row>
    <row r="3" spans="1:16">
      <c r="A3" s="42" t="s">
        <v>7</v>
      </c>
      <c r="B3" s="42" t="s">
        <v>1349</v>
      </c>
      <c r="C3" s="42"/>
      <c r="D3" s="42"/>
      <c r="E3" s="42"/>
      <c r="F3" s="42"/>
      <c r="G3" s="42"/>
      <c r="H3" s="42"/>
      <c r="I3" s="42"/>
      <c r="J3" s="42"/>
      <c r="K3" s="42"/>
      <c r="L3" s="42"/>
      <c r="M3" s="42"/>
      <c r="N3" s="42"/>
      <c r="O3" s="42"/>
      <c r="P3" s="42"/>
    </row>
    <row r="4" spans="1:16">
      <c r="A4" s="42" t="s">
        <v>9</v>
      </c>
      <c r="B4" s="43" t="s">
        <v>1719</v>
      </c>
      <c r="C4" s="42"/>
      <c r="D4" s="42"/>
      <c r="E4" s="42"/>
      <c r="F4" s="42"/>
      <c r="G4" s="42"/>
      <c r="H4" s="42"/>
      <c r="I4" s="42"/>
      <c r="J4" s="42"/>
      <c r="K4" s="42"/>
      <c r="L4" s="42"/>
      <c r="M4" s="42"/>
      <c r="N4" s="42"/>
      <c r="O4" s="42"/>
      <c r="P4" s="42"/>
    </row>
    <row r="5" spans="1:16">
      <c r="A5" s="42" t="s">
        <v>11</v>
      </c>
      <c r="B5" s="42" t="s">
        <v>1697</v>
      </c>
      <c r="C5" s="42"/>
      <c r="D5" s="42"/>
      <c r="E5" s="42"/>
      <c r="F5" s="42"/>
      <c r="G5" s="42"/>
      <c r="H5" s="42"/>
      <c r="I5" s="42"/>
      <c r="J5" s="42"/>
      <c r="K5" s="42"/>
      <c r="L5" s="42"/>
      <c r="M5" s="42"/>
      <c r="N5" s="42"/>
      <c r="O5" s="42"/>
      <c r="P5" s="42"/>
    </row>
    <row r="6" spans="1:16">
      <c r="A6" s="42" t="s">
        <v>13</v>
      </c>
      <c r="B6" s="42" t="s">
        <v>58</v>
      </c>
      <c r="C6" s="42"/>
      <c r="D6" s="42"/>
      <c r="E6" s="42"/>
      <c r="F6" s="42"/>
      <c r="G6" s="42"/>
      <c r="H6" s="42"/>
      <c r="I6" s="42"/>
      <c r="J6" s="42"/>
      <c r="K6" s="42"/>
      <c r="L6" s="42"/>
      <c r="M6" s="42"/>
      <c r="N6" s="42"/>
      <c r="O6" s="42"/>
      <c r="P6" s="42"/>
    </row>
    <row r="7" spans="1:16">
      <c r="A7" s="42" t="s">
        <v>15</v>
      </c>
      <c r="B7" s="42">
        <v>1</v>
      </c>
      <c r="C7" s="42"/>
      <c r="D7" s="42"/>
      <c r="E7" s="42"/>
      <c r="F7" s="42"/>
      <c r="G7" s="42"/>
      <c r="H7" s="42"/>
      <c r="I7" s="42"/>
      <c r="J7" s="42"/>
      <c r="K7" s="42"/>
      <c r="L7" s="42"/>
      <c r="M7" s="42"/>
      <c r="N7" s="42"/>
      <c r="O7" s="42"/>
      <c r="P7" s="42"/>
    </row>
    <row r="8" spans="1:16">
      <c r="A8" s="42" t="s">
        <v>16</v>
      </c>
      <c r="B8" s="42" t="s">
        <v>17</v>
      </c>
      <c r="C8" s="42"/>
      <c r="D8" s="42"/>
      <c r="E8" s="42"/>
      <c r="F8" s="42"/>
      <c r="G8" s="42"/>
      <c r="H8" s="42"/>
      <c r="I8" s="42"/>
      <c r="J8" s="42"/>
      <c r="K8" s="42"/>
      <c r="L8" s="42"/>
      <c r="M8" s="42"/>
      <c r="N8" s="42"/>
      <c r="O8" s="42"/>
      <c r="P8" s="42"/>
    </row>
    <row r="9" spans="1:16" ht="15.75">
      <c r="A9" s="42" t="s">
        <v>18</v>
      </c>
      <c r="B9" s="44" t="s">
        <v>37</v>
      </c>
      <c r="C9" s="42"/>
      <c r="D9" s="42"/>
      <c r="E9" s="42" t="s">
        <v>197</v>
      </c>
      <c r="F9" s="42"/>
      <c r="G9" s="42"/>
      <c r="H9" s="42"/>
      <c r="I9" s="42"/>
      <c r="J9" s="42"/>
      <c r="K9" s="42"/>
      <c r="L9" s="42"/>
      <c r="M9" s="42"/>
      <c r="N9" s="42"/>
      <c r="O9" s="42"/>
      <c r="P9" s="42"/>
    </row>
    <row r="10" spans="1:16" ht="15.75">
      <c r="A10" s="45" t="s">
        <v>19</v>
      </c>
      <c r="B10" s="42"/>
      <c r="C10" s="42"/>
      <c r="D10" s="42"/>
      <c r="E10" s="42"/>
      <c r="F10" s="42"/>
      <c r="G10" s="42"/>
      <c r="H10" s="42"/>
      <c r="I10" s="42"/>
      <c r="J10" s="42"/>
      <c r="K10" s="42"/>
      <c r="L10" s="42"/>
      <c r="M10" s="42"/>
      <c r="N10" s="42"/>
      <c r="O10" s="42"/>
      <c r="P10" s="42"/>
    </row>
    <row r="11" spans="1:16"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16" ht="15.75">
      <c r="A12" s="44" t="str">
        <f>B2</f>
        <v>treatment of aluminium, H2 storage tank (transport), PEMFC-bat</v>
      </c>
      <c r="B12" s="44">
        <v>1</v>
      </c>
      <c r="C12" s="44"/>
      <c r="D12" s="44" t="s">
        <v>37</v>
      </c>
      <c r="E12" s="42" t="s">
        <v>2</v>
      </c>
      <c r="F12" s="42" t="s">
        <v>1720</v>
      </c>
      <c r="G12" s="44" t="s">
        <v>58</v>
      </c>
      <c r="H12" s="42" t="s">
        <v>30</v>
      </c>
      <c r="I12" s="42">
        <v>0</v>
      </c>
      <c r="J12" s="44" t="s">
        <v>31</v>
      </c>
      <c r="K12" s="44" t="s">
        <v>31</v>
      </c>
      <c r="L12" s="44" t="s">
        <v>31</v>
      </c>
      <c r="M12" s="44" t="s">
        <v>31</v>
      </c>
      <c r="N12" s="44" t="s">
        <v>31</v>
      </c>
      <c r="O12" s="44" t="s">
        <v>1466</v>
      </c>
      <c r="P12" s="42"/>
    </row>
    <row r="13" spans="1:16" ht="15.75">
      <c r="A13" t="s">
        <v>245</v>
      </c>
      <c r="B13" s="23">
        <v>0.85</v>
      </c>
      <c r="C13" s="44"/>
      <c r="D13" s="44" t="s">
        <v>37</v>
      </c>
      <c r="E13" s="32" t="s">
        <v>40</v>
      </c>
      <c r="F13" s="42" t="s">
        <v>1720</v>
      </c>
      <c r="G13" s="44" t="s">
        <v>128</v>
      </c>
      <c r="H13" s="42" t="s">
        <v>33</v>
      </c>
      <c r="I13" s="42">
        <v>0</v>
      </c>
      <c r="J13" s="44" t="s">
        <v>31</v>
      </c>
      <c r="K13" s="44" t="s">
        <v>31</v>
      </c>
      <c r="L13" s="44" t="s">
        <v>31</v>
      </c>
      <c r="M13" s="44" t="s">
        <v>31</v>
      </c>
      <c r="N13" s="44" t="s">
        <v>31</v>
      </c>
      <c r="O13" s="42"/>
      <c r="P13" s="42"/>
    </row>
    <row r="14" spans="1:16" ht="15.75">
      <c r="A14" t="s">
        <v>247</v>
      </c>
      <c r="B14" s="23">
        <v>0.85</v>
      </c>
      <c r="C14" s="22" t="s">
        <v>248</v>
      </c>
      <c r="D14" t="s">
        <v>37</v>
      </c>
      <c r="E14" s="46" t="s">
        <v>40</v>
      </c>
      <c r="F14" s="42" t="s">
        <v>1720</v>
      </c>
      <c r="G14" s="44" t="s">
        <v>128</v>
      </c>
      <c r="H14" s="42" t="s">
        <v>33</v>
      </c>
      <c r="I14" s="42">
        <v>0</v>
      </c>
      <c r="J14" s="44" t="s">
        <v>31</v>
      </c>
      <c r="K14" s="44" t="s">
        <v>31</v>
      </c>
      <c r="L14" s="44" t="s">
        <v>31</v>
      </c>
      <c r="M14" s="44" t="s">
        <v>31</v>
      </c>
      <c r="N14" s="44" t="s">
        <v>31</v>
      </c>
      <c r="O14" s="44" t="s">
        <v>1367</v>
      </c>
    </row>
    <row r="15" spans="1:16" ht="15.75">
      <c r="A15" t="s">
        <v>329</v>
      </c>
      <c r="B15" s="23">
        <f>B14*0.9</f>
        <v>0.76500000000000001</v>
      </c>
      <c r="D15" t="s">
        <v>37</v>
      </c>
      <c r="E15" s="46" t="s">
        <v>40</v>
      </c>
      <c r="F15" s="42" t="s">
        <v>1720</v>
      </c>
      <c r="G15" t="s">
        <v>58</v>
      </c>
      <c r="H15" s="42" t="s">
        <v>243</v>
      </c>
      <c r="I15" s="42">
        <v>0</v>
      </c>
      <c r="J15" s="44" t="s">
        <v>31</v>
      </c>
      <c r="K15" s="44" t="s">
        <v>31</v>
      </c>
      <c r="L15" s="44" t="s">
        <v>31</v>
      </c>
      <c r="M15" s="44" t="s">
        <v>31</v>
      </c>
      <c r="N15" s="44" t="s">
        <v>31</v>
      </c>
      <c r="O15" s="42"/>
      <c r="P15" s="44" t="s">
        <v>1391</v>
      </c>
    </row>
    <row r="16" spans="1:16" ht="15.75">
      <c r="A16" t="s">
        <v>380</v>
      </c>
      <c r="B16" s="23">
        <f>-(1-B15)</f>
        <v>-0.23499999999999999</v>
      </c>
      <c r="D16" t="s">
        <v>37</v>
      </c>
      <c r="E16" s="47" t="s">
        <v>40</v>
      </c>
      <c r="F16" s="42" t="s">
        <v>1720</v>
      </c>
      <c r="G16" t="s">
        <v>58</v>
      </c>
      <c r="H16" t="s">
        <v>33</v>
      </c>
      <c r="I16">
        <v>0</v>
      </c>
      <c r="J16" t="s">
        <v>31</v>
      </c>
      <c r="K16" t="s">
        <v>31</v>
      </c>
      <c r="L16" t="s">
        <v>31</v>
      </c>
      <c r="M16" t="s">
        <v>31</v>
      </c>
      <c r="N16" t="s">
        <v>31</v>
      </c>
      <c r="O16" s="17"/>
      <c r="P16" s="42"/>
    </row>
    <row r="17" spans="1:16" s="41" customFormat="1" ht="15.75">
      <c r="A17" s="38" t="s">
        <v>5</v>
      </c>
      <c r="B17" s="38" t="s">
        <v>1721</v>
      </c>
      <c r="C17" s="38"/>
      <c r="D17" s="39"/>
      <c r="E17" s="40"/>
      <c r="F17" s="40"/>
      <c r="G17" s="40"/>
      <c r="H17" s="40"/>
      <c r="I17" s="40"/>
      <c r="J17" s="40"/>
      <c r="K17" s="40"/>
      <c r="L17" s="40"/>
      <c r="M17" s="40"/>
      <c r="N17" s="40"/>
      <c r="O17" s="40"/>
      <c r="P17" s="40"/>
    </row>
    <row r="18" spans="1:16">
      <c r="A18" s="42" t="s">
        <v>7</v>
      </c>
      <c r="B18" s="42" t="s">
        <v>1349</v>
      </c>
      <c r="C18" s="42"/>
      <c r="D18" s="42"/>
      <c r="E18" s="42"/>
      <c r="F18" s="42"/>
      <c r="G18" s="42"/>
      <c r="H18" s="42"/>
      <c r="I18" s="42"/>
      <c r="J18" s="42"/>
      <c r="K18" s="42"/>
      <c r="L18" s="42"/>
      <c r="M18" s="42"/>
      <c r="N18" s="42"/>
      <c r="O18" s="42"/>
      <c r="P18" s="42"/>
    </row>
    <row r="19" spans="1:16">
      <c r="A19" s="42" t="s">
        <v>9</v>
      </c>
      <c r="B19" s="43" t="s">
        <v>1722</v>
      </c>
      <c r="C19" s="42"/>
      <c r="D19" s="42"/>
      <c r="E19" s="42"/>
      <c r="F19" s="42"/>
      <c r="G19" s="42"/>
      <c r="H19" s="42"/>
      <c r="I19" s="42"/>
      <c r="J19" s="42"/>
      <c r="K19" s="42"/>
      <c r="L19" s="42"/>
      <c r="M19" s="42"/>
      <c r="N19" s="42"/>
      <c r="O19" s="42"/>
      <c r="P19" s="42"/>
    </row>
    <row r="20" spans="1:16">
      <c r="A20" s="42" t="s">
        <v>11</v>
      </c>
      <c r="B20" s="42" t="s">
        <v>1681</v>
      </c>
      <c r="C20" s="42"/>
      <c r="D20" s="42"/>
      <c r="E20" s="42"/>
      <c r="F20" s="42"/>
      <c r="G20" s="42"/>
      <c r="H20" s="42"/>
      <c r="I20" s="42"/>
      <c r="J20" s="42"/>
      <c r="K20" s="42"/>
      <c r="L20" s="42"/>
      <c r="M20" s="42"/>
      <c r="N20" s="42"/>
      <c r="O20" s="42"/>
      <c r="P20" s="42"/>
    </row>
    <row r="21" spans="1:16">
      <c r="A21" s="42" t="s">
        <v>13</v>
      </c>
      <c r="B21" s="42" t="s">
        <v>58</v>
      </c>
      <c r="C21" s="42"/>
      <c r="D21" s="42"/>
      <c r="E21" s="42"/>
      <c r="F21" s="42"/>
      <c r="G21" s="42"/>
      <c r="H21" s="42"/>
      <c r="I21" s="42"/>
      <c r="J21" s="42"/>
      <c r="K21" s="42"/>
      <c r="L21" s="42"/>
      <c r="M21" s="42"/>
      <c r="N21" s="42"/>
      <c r="O21" s="42"/>
      <c r="P21" s="42"/>
    </row>
    <row r="22" spans="1:16">
      <c r="A22" s="42" t="s">
        <v>15</v>
      </c>
      <c r="B22" s="42">
        <v>1</v>
      </c>
      <c r="C22" s="42"/>
      <c r="D22" s="42"/>
      <c r="E22" s="42"/>
      <c r="F22" s="42"/>
      <c r="G22" s="42"/>
      <c r="H22" s="42"/>
      <c r="I22" s="42"/>
      <c r="J22" s="42"/>
      <c r="K22" s="42"/>
      <c r="L22" s="42"/>
      <c r="M22" s="42"/>
      <c r="N22" s="42"/>
      <c r="O22" s="42"/>
      <c r="P22" s="42"/>
    </row>
    <row r="23" spans="1:16">
      <c r="A23" s="42" t="s">
        <v>16</v>
      </c>
      <c r="B23" s="42" t="s">
        <v>17</v>
      </c>
      <c r="C23" s="42"/>
      <c r="D23" s="42"/>
      <c r="E23" s="42"/>
      <c r="F23" s="42"/>
      <c r="G23" s="42"/>
      <c r="H23" s="42"/>
      <c r="I23" s="42"/>
      <c r="J23" s="42"/>
      <c r="K23" s="42"/>
      <c r="L23" s="42"/>
      <c r="M23" s="42"/>
      <c r="N23" s="42"/>
      <c r="O23" s="42"/>
      <c r="P23" s="42"/>
    </row>
    <row r="24" spans="1:16" ht="15.75">
      <c r="A24" s="42" t="s">
        <v>18</v>
      </c>
      <c r="B24" s="44" t="s">
        <v>37</v>
      </c>
      <c r="C24" s="42"/>
      <c r="D24" s="42"/>
      <c r="E24" s="42" t="s">
        <v>197</v>
      </c>
      <c r="F24" s="42"/>
      <c r="G24" s="42"/>
      <c r="H24" s="42"/>
      <c r="I24" s="42"/>
      <c r="J24" s="42"/>
      <c r="K24" s="42"/>
      <c r="L24" s="42"/>
      <c r="M24" s="42"/>
      <c r="N24" s="42"/>
      <c r="O24" s="42"/>
      <c r="P24" s="42"/>
    </row>
    <row r="25" spans="1:16" ht="15.75">
      <c r="A25" s="45" t="s">
        <v>19</v>
      </c>
      <c r="B25" s="42"/>
      <c r="C25" s="42"/>
      <c r="D25" s="42"/>
      <c r="E25" s="42"/>
      <c r="F25" s="42"/>
      <c r="G25" s="42"/>
      <c r="H25" s="42"/>
      <c r="I25" s="42"/>
      <c r="J25" s="42"/>
      <c r="K25" s="42"/>
      <c r="L25" s="42"/>
      <c r="M25" s="42"/>
      <c r="N25" s="42"/>
      <c r="O25" s="42"/>
      <c r="P25" s="42"/>
    </row>
    <row r="26" spans="1:16" ht="15.75">
      <c r="A26" s="45" t="s">
        <v>20</v>
      </c>
      <c r="B26" s="45" t="s">
        <v>21</v>
      </c>
      <c r="C26" s="45" t="s">
        <v>198</v>
      </c>
      <c r="D26" s="45" t="s">
        <v>18</v>
      </c>
      <c r="E26" s="45" t="s">
        <v>22</v>
      </c>
      <c r="F26" s="45" t="s">
        <v>7</v>
      </c>
      <c r="G26" s="45" t="s">
        <v>13</v>
      </c>
      <c r="H26" s="45" t="s">
        <v>16</v>
      </c>
      <c r="I26" s="45" t="s">
        <v>23</v>
      </c>
      <c r="J26" s="45" t="s">
        <v>24</v>
      </c>
      <c r="K26" s="45" t="s">
        <v>25</v>
      </c>
      <c r="L26" s="45" t="s">
        <v>26</v>
      </c>
      <c r="M26" s="45" t="s">
        <v>27</v>
      </c>
      <c r="N26" s="45" t="s">
        <v>28</v>
      </c>
      <c r="O26" s="45" t="s">
        <v>11</v>
      </c>
      <c r="P26" s="45" t="s">
        <v>199</v>
      </c>
    </row>
    <row r="27" spans="1:16" ht="15.75">
      <c r="A27" s="44" t="str">
        <f>B17</f>
        <v>treatment of polyurethane, H2 storage tank (transport), PEMFC-bat</v>
      </c>
      <c r="B27" s="44">
        <v>1</v>
      </c>
      <c r="C27" s="44"/>
      <c r="D27" s="44" t="s">
        <v>37</v>
      </c>
      <c r="E27" s="42" t="s">
        <v>2</v>
      </c>
      <c r="F27" s="42" t="s">
        <v>1720</v>
      </c>
      <c r="G27" s="44" t="s">
        <v>58</v>
      </c>
      <c r="H27" s="42" t="s">
        <v>30</v>
      </c>
      <c r="I27" s="42">
        <v>0</v>
      </c>
      <c r="J27" s="44" t="s">
        <v>31</v>
      </c>
      <c r="K27" s="44" t="s">
        <v>31</v>
      </c>
      <c r="L27" s="44" t="s">
        <v>31</v>
      </c>
      <c r="M27" s="44" t="s">
        <v>31</v>
      </c>
      <c r="N27" s="44" t="s">
        <v>31</v>
      </c>
      <c r="O27" s="44" t="s">
        <v>1416</v>
      </c>
      <c r="P27" s="42"/>
    </row>
    <row r="28" spans="1:16" ht="15.75">
      <c r="A28" s="47" t="s">
        <v>1475</v>
      </c>
      <c r="B28">
        <v>-1</v>
      </c>
      <c r="D28" s="44" t="s">
        <v>37</v>
      </c>
      <c r="E28" s="47" t="s">
        <v>40</v>
      </c>
      <c r="F28" s="42" t="s">
        <v>1720</v>
      </c>
      <c r="G28" t="s">
        <v>128</v>
      </c>
      <c r="H28" t="s">
        <v>33</v>
      </c>
      <c r="I28">
        <v>0</v>
      </c>
      <c r="J28" t="s">
        <v>31</v>
      </c>
      <c r="K28" t="s">
        <v>31</v>
      </c>
      <c r="L28" t="s">
        <v>31</v>
      </c>
      <c r="M28" t="s">
        <v>31</v>
      </c>
      <c r="N28" t="s">
        <v>31</v>
      </c>
    </row>
    <row r="29" spans="1:16" s="41" customFormat="1" ht="15.75">
      <c r="A29" s="38" t="s">
        <v>5</v>
      </c>
      <c r="B29" s="38" t="s">
        <v>1717</v>
      </c>
      <c r="C29" s="38"/>
      <c r="D29" s="39"/>
      <c r="E29" s="40"/>
      <c r="F29" s="40"/>
      <c r="G29" s="40"/>
      <c r="H29" s="40"/>
      <c r="I29" s="40"/>
      <c r="J29" s="40"/>
      <c r="K29" s="40"/>
      <c r="L29" s="40"/>
      <c r="M29" s="40"/>
      <c r="N29" s="40"/>
      <c r="O29" s="40"/>
      <c r="P29" s="40"/>
    </row>
    <row r="30" spans="1:16">
      <c r="A30" s="42" t="s">
        <v>7</v>
      </c>
      <c r="B30" s="42" t="s">
        <v>1349</v>
      </c>
      <c r="C30" s="42"/>
      <c r="D30" s="42"/>
      <c r="E30" s="42"/>
      <c r="F30" s="42"/>
      <c r="G30" s="42"/>
      <c r="H30" s="42"/>
      <c r="I30" s="42"/>
      <c r="J30" s="42"/>
      <c r="K30" s="42"/>
      <c r="L30" s="42"/>
      <c r="M30" s="42"/>
      <c r="N30" s="42"/>
      <c r="O30" s="42"/>
      <c r="P30" s="42"/>
    </row>
    <row r="31" spans="1:16">
      <c r="A31" s="42" t="s">
        <v>9</v>
      </c>
      <c r="B31" s="43" t="s">
        <v>1723</v>
      </c>
      <c r="C31" s="42"/>
      <c r="D31" s="42"/>
      <c r="E31" s="42"/>
      <c r="F31" s="42"/>
      <c r="G31" s="42"/>
      <c r="H31" s="42"/>
      <c r="I31" s="42"/>
      <c r="J31" s="42"/>
      <c r="K31" s="42"/>
      <c r="L31" s="42"/>
      <c r="M31" s="42"/>
      <c r="N31" s="42"/>
      <c r="O31" s="42"/>
      <c r="P31" s="42"/>
    </row>
    <row r="32" spans="1:16">
      <c r="A32" s="42" t="s">
        <v>11</v>
      </c>
      <c r="B32" s="42" t="s">
        <v>1681</v>
      </c>
      <c r="C32" s="42"/>
      <c r="D32" s="42"/>
      <c r="E32" s="42"/>
      <c r="F32" s="42"/>
      <c r="G32" s="42"/>
      <c r="H32" s="42"/>
      <c r="I32" s="42"/>
      <c r="J32" s="42"/>
      <c r="K32" s="42"/>
      <c r="L32" s="42"/>
      <c r="M32" s="42"/>
      <c r="N32" s="42"/>
      <c r="O32" s="42"/>
      <c r="P32" s="42"/>
    </row>
    <row r="33" spans="1:16">
      <c r="A33" s="42" t="s">
        <v>13</v>
      </c>
      <c r="B33" s="42" t="s">
        <v>58</v>
      </c>
      <c r="C33" s="42"/>
      <c r="D33" s="42"/>
      <c r="E33" s="42"/>
      <c r="F33" s="42"/>
      <c r="G33" s="42"/>
      <c r="H33" s="42"/>
      <c r="I33" s="42"/>
      <c r="J33" s="42"/>
      <c r="K33" s="42"/>
      <c r="L33" s="42"/>
      <c r="M33" s="42"/>
      <c r="N33" s="42"/>
      <c r="O33" s="42"/>
      <c r="P33" s="42"/>
    </row>
    <row r="34" spans="1:16">
      <c r="A34" s="42" t="s">
        <v>15</v>
      </c>
      <c r="B34" s="42">
        <v>1</v>
      </c>
      <c r="C34" s="42"/>
      <c r="D34" s="42"/>
      <c r="E34" s="42"/>
      <c r="F34" s="42"/>
      <c r="G34" s="42"/>
      <c r="H34" s="42"/>
      <c r="I34" s="42"/>
      <c r="J34" s="42"/>
      <c r="K34" s="42"/>
      <c r="L34" s="42"/>
      <c r="M34" s="42"/>
      <c r="N34" s="42"/>
      <c r="O34" s="42"/>
      <c r="P34" s="42"/>
    </row>
    <row r="35" spans="1:16">
      <c r="A35" s="42" t="s">
        <v>16</v>
      </c>
      <c r="B35" s="42" t="s">
        <v>17</v>
      </c>
      <c r="C35" s="42"/>
      <c r="D35" s="42"/>
      <c r="E35" s="42"/>
      <c r="F35" s="42"/>
      <c r="G35" s="42"/>
      <c r="H35" s="42"/>
      <c r="I35" s="42"/>
      <c r="J35" s="42"/>
      <c r="K35" s="42"/>
      <c r="L35" s="42"/>
      <c r="M35" s="42"/>
      <c r="N35" s="42"/>
      <c r="O35" s="42"/>
      <c r="P35" s="42"/>
    </row>
    <row r="36" spans="1:16" ht="15.75">
      <c r="A36" s="42" t="s">
        <v>18</v>
      </c>
      <c r="B36" s="44" t="s">
        <v>18</v>
      </c>
      <c r="C36" s="42"/>
      <c r="D36" s="42"/>
      <c r="E36" s="42" t="s">
        <v>197</v>
      </c>
      <c r="F36" s="42"/>
      <c r="G36" s="42"/>
      <c r="H36" s="42"/>
      <c r="I36" s="42"/>
      <c r="J36" s="42"/>
      <c r="K36" s="42"/>
      <c r="L36" s="42"/>
      <c r="M36" s="42"/>
      <c r="N36" s="42"/>
      <c r="O36" s="42"/>
      <c r="P36" s="42"/>
    </row>
    <row r="37" spans="1:16" ht="15.75">
      <c r="A37" s="45" t="s">
        <v>19</v>
      </c>
      <c r="B37" s="42"/>
      <c r="C37" s="42"/>
      <c r="D37" s="42"/>
      <c r="E37" s="42"/>
      <c r="F37" s="42"/>
      <c r="G37" s="42"/>
      <c r="H37" s="42"/>
      <c r="I37" s="42"/>
      <c r="J37" s="42"/>
      <c r="K37" s="42"/>
      <c r="L37" s="42"/>
      <c r="M37" s="42"/>
      <c r="N37" s="42"/>
      <c r="O37" s="42"/>
      <c r="P37" s="42"/>
    </row>
    <row r="38" spans="1:16" ht="15.75">
      <c r="A38" s="45" t="s">
        <v>20</v>
      </c>
      <c r="B38" s="45" t="s">
        <v>21</v>
      </c>
      <c r="C38" s="45" t="s">
        <v>198</v>
      </c>
      <c r="D38" s="45" t="s">
        <v>18</v>
      </c>
      <c r="E38" s="45" t="s">
        <v>22</v>
      </c>
      <c r="F38" s="45" t="s">
        <v>7</v>
      </c>
      <c r="G38" s="45" t="s">
        <v>13</v>
      </c>
      <c r="H38" s="45" t="s">
        <v>16</v>
      </c>
      <c r="I38" s="45" t="s">
        <v>23</v>
      </c>
      <c r="J38" s="45" t="s">
        <v>24</v>
      </c>
      <c r="K38" s="45" t="s">
        <v>25</v>
      </c>
      <c r="L38" s="45" t="s">
        <v>26</v>
      </c>
      <c r="M38" s="45" t="s">
        <v>27</v>
      </c>
      <c r="N38" s="45" t="s">
        <v>28</v>
      </c>
      <c r="O38" s="45" t="s">
        <v>11</v>
      </c>
      <c r="P38" s="45" t="s">
        <v>199</v>
      </c>
    </row>
    <row r="39" spans="1:16" ht="15.75">
      <c r="A39" s="44" t="str">
        <f>B29</f>
        <v>treatment of H2 storage tank (transport), PEMFC-bat</v>
      </c>
      <c r="B39" s="44">
        <v>1</v>
      </c>
      <c r="C39" s="44"/>
      <c r="D39" s="44" t="s">
        <v>18</v>
      </c>
      <c r="E39" s="42" t="s">
        <v>2</v>
      </c>
      <c r="F39" s="42" t="s">
        <v>1720</v>
      </c>
      <c r="G39" s="44" t="s">
        <v>58</v>
      </c>
      <c r="H39" s="42" t="s">
        <v>30</v>
      </c>
      <c r="I39" s="42">
        <v>0</v>
      </c>
      <c r="J39" s="44" t="s">
        <v>31</v>
      </c>
      <c r="K39" s="44" t="s">
        <v>31</v>
      </c>
      <c r="L39" s="44" t="s">
        <v>31</v>
      </c>
      <c r="M39" s="44" t="s">
        <v>31</v>
      </c>
      <c r="N39" s="44" t="s">
        <v>31</v>
      </c>
      <c r="O39" s="44" t="s">
        <v>1416</v>
      </c>
      <c r="P39" s="42"/>
    </row>
    <row r="40" spans="1:16" ht="15.75">
      <c r="A40" t="str">
        <f>A12</f>
        <v>treatment of aluminium, H2 storage tank (transport), PEMFC-bat</v>
      </c>
      <c r="B40" s="26">
        <v>3141</v>
      </c>
      <c r="D40" s="44" t="s">
        <v>37</v>
      </c>
      <c r="E40" s="42" t="s">
        <v>2</v>
      </c>
      <c r="F40" s="42" t="s">
        <v>1720</v>
      </c>
      <c r="G40" s="44" t="s">
        <v>58</v>
      </c>
      <c r="H40" s="42" t="s">
        <v>30</v>
      </c>
      <c r="I40" s="42">
        <v>0</v>
      </c>
      <c r="J40" s="44" t="s">
        <v>31</v>
      </c>
      <c r="K40" s="44" t="s">
        <v>31</v>
      </c>
      <c r="L40" s="44" t="s">
        <v>31</v>
      </c>
      <c r="M40" s="44" t="s">
        <v>31</v>
      </c>
      <c r="N40" s="44" t="s">
        <v>31</v>
      </c>
    </row>
    <row r="41" spans="1:16" ht="15.75">
      <c r="A41" t="str">
        <f>A27</f>
        <v>treatment of polyurethane, H2 storage tank (transport), PEMFC-bat</v>
      </c>
      <c r="B41" s="26">
        <v>2256</v>
      </c>
      <c r="D41" s="44" t="s">
        <v>37</v>
      </c>
      <c r="E41" s="42" t="s">
        <v>2</v>
      </c>
      <c r="F41" s="42" t="s">
        <v>1720</v>
      </c>
      <c r="G41" s="44" t="s">
        <v>58</v>
      </c>
      <c r="H41" s="42" t="s">
        <v>30</v>
      </c>
      <c r="I41" s="42">
        <v>0</v>
      </c>
      <c r="J41" s="44" t="s">
        <v>31</v>
      </c>
      <c r="K41" s="44" t="s">
        <v>31</v>
      </c>
      <c r="L41" s="44" t="s">
        <v>31</v>
      </c>
      <c r="M41" s="44" t="s">
        <v>31</v>
      </c>
      <c r="N41" s="44" t="s">
        <v>31</v>
      </c>
    </row>
    <row r="42" spans="1:16">
      <c r="F42" s="42"/>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1E0DF-DEA1-404C-B4C3-C9EA03B49880}">
  <dimension ref="A1:S18"/>
  <sheetViews>
    <sheetView workbookViewId="0">
      <selection activeCell="B2" sqref="B2"/>
    </sheetView>
  </sheetViews>
  <sheetFormatPr defaultRowHeight="15"/>
  <cols>
    <col min="1" max="1" width="68.7109375" bestFit="1" customWidth="1"/>
    <col min="5" max="5" width="20.42578125" bestFit="1" customWidth="1"/>
  </cols>
  <sheetData>
    <row r="1" spans="1:19">
      <c r="A1" s="22" t="s">
        <v>0</v>
      </c>
      <c r="B1" s="22">
        <v>14</v>
      </c>
      <c r="C1" s="22"/>
      <c r="D1" s="22"/>
      <c r="E1" s="22"/>
      <c r="F1" s="22"/>
      <c r="G1" s="22"/>
      <c r="H1" s="22"/>
      <c r="I1" s="22"/>
      <c r="J1" s="22"/>
      <c r="K1" s="22"/>
      <c r="L1" s="22"/>
      <c r="M1" s="22"/>
      <c r="N1" s="22"/>
      <c r="O1" s="22"/>
      <c r="P1" s="22"/>
      <c r="Q1" s="22"/>
      <c r="R1" s="22"/>
      <c r="S1" s="22"/>
    </row>
    <row r="2" spans="1:19" ht="15.75">
      <c r="A2" s="38" t="s">
        <v>5</v>
      </c>
      <c r="B2" s="38" t="s">
        <v>1724</v>
      </c>
      <c r="C2" s="38"/>
      <c r="D2" s="39"/>
      <c r="E2" s="40"/>
      <c r="F2" s="40"/>
      <c r="G2" s="40"/>
      <c r="H2" s="40"/>
      <c r="I2" s="40"/>
      <c r="J2" s="40"/>
      <c r="K2" s="40"/>
      <c r="L2" s="40"/>
      <c r="M2" s="40"/>
      <c r="N2" s="40"/>
      <c r="O2" s="40"/>
      <c r="P2" s="40"/>
      <c r="Q2" s="40"/>
      <c r="R2" s="40"/>
      <c r="S2" s="40"/>
    </row>
    <row r="3" spans="1:19">
      <c r="A3" s="42" t="s">
        <v>7</v>
      </c>
      <c r="B3" s="42" t="s">
        <v>194</v>
      </c>
      <c r="C3" s="42"/>
      <c r="D3" s="42"/>
      <c r="E3" s="42"/>
      <c r="F3" s="42"/>
      <c r="G3" s="42"/>
      <c r="H3" s="42"/>
      <c r="I3" s="42"/>
      <c r="J3" s="42"/>
      <c r="K3" s="42"/>
      <c r="L3" s="42"/>
      <c r="M3" s="42"/>
      <c r="N3" s="42"/>
      <c r="O3" s="42"/>
      <c r="P3" s="42"/>
      <c r="Q3" s="42"/>
      <c r="R3" s="42"/>
      <c r="S3" s="42"/>
    </row>
    <row r="4" spans="1:19">
      <c r="A4" s="42" t="s">
        <v>9</v>
      </c>
      <c r="B4" s="198" t="s">
        <v>1725</v>
      </c>
      <c r="C4" s="42"/>
      <c r="D4" s="42"/>
      <c r="E4" s="42"/>
      <c r="F4" s="42"/>
      <c r="G4" s="42"/>
      <c r="H4" s="42"/>
      <c r="I4" s="42"/>
      <c r="J4" s="42"/>
      <c r="K4" s="42"/>
      <c r="L4" s="42"/>
      <c r="M4" s="42"/>
      <c r="N4" s="42"/>
      <c r="O4" s="42"/>
      <c r="P4" s="42"/>
      <c r="Q4" s="42"/>
      <c r="R4" s="42"/>
      <c r="S4" s="42"/>
    </row>
    <row r="5" spans="1:19">
      <c r="A5" s="42" t="s">
        <v>11</v>
      </c>
      <c r="B5" s="42" t="s">
        <v>1726</v>
      </c>
      <c r="C5" s="42"/>
      <c r="D5" s="42"/>
      <c r="E5" s="42"/>
      <c r="F5" s="42"/>
      <c r="G5" s="42"/>
      <c r="H5" s="42"/>
      <c r="I5" s="42"/>
      <c r="J5" s="42"/>
      <c r="K5" s="42"/>
      <c r="L5" s="42"/>
      <c r="M5" s="42"/>
      <c r="N5" s="42"/>
      <c r="O5" s="42"/>
      <c r="P5" s="42"/>
      <c r="Q5" s="42"/>
      <c r="R5" s="42"/>
      <c r="S5" s="42"/>
    </row>
    <row r="6" spans="1:19">
      <c r="A6" s="42" t="s">
        <v>13</v>
      </c>
      <c r="B6" s="42" t="s">
        <v>58</v>
      </c>
      <c r="C6" s="42"/>
      <c r="D6" s="42"/>
      <c r="E6" s="42"/>
      <c r="F6" s="42"/>
      <c r="G6" s="42"/>
      <c r="H6" s="42"/>
      <c r="I6" s="42"/>
      <c r="J6" s="42"/>
      <c r="K6" s="42"/>
      <c r="L6" s="42"/>
      <c r="M6" s="42"/>
      <c r="N6" s="42"/>
      <c r="O6" s="42"/>
      <c r="P6" s="42"/>
      <c r="Q6" s="42"/>
      <c r="R6" s="42"/>
      <c r="S6" s="42"/>
    </row>
    <row r="7" spans="1:19">
      <c r="A7" s="42" t="s">
        <v>15</v>
      </c>
      <c r="B7" s="42">
        <v>1</v>
      </c>
      <c r="C7" s="42"/>
      <c r="D7" s="42"/>
      <c r="E7" s="42"/>
      <c r="F7" s="42"/>
      <c r="G7" s="42"/>
      <c r="H7" s="42"/>
      <c r="I7" s="42"/>
      <c r="J7" s="42"/>
      <c r="K7" s="42"/>
      <c r="L7" s="42"/>
      <c r="M7" s="42"/>
      <c r="N7" s="42"/>
      <c r="O7" s="42"/>
      <c r="P7" s="42"/>
      <c r="Q7" s="42"/>
      <c r="R7" s="42"/>
      <c r="S7" s="42"/>
    </row>
    <row r="8" spans="1:19">
      <c r="A8" s="42" t="s">
        <v>16</v>
      </c>
      <c r="B8" s="42" t="s">
        <v>17</v>
      </c>
      <c r="C8" s="42"/>
      <c r="D8" s="42"/>
      <c r="E8" s="42"/>
      <c r="F8" s="42"/>
      <c r="G8" s="42"/>
      <c r="H8" s="42"/>
      <c r="I8" s="42"/>
      <c r="J8" s="42"/>
      <c r="K8" s="42"/>
      <c r="L8" s="42"/>
      <c r="M8" s="42"/>
      <c r="N8" s="42"/>
      <c r="O8" s="42"/>
      <c r="P8" s="42"/>
      <c r="Q8" s="42"/>
      <c r="R8" s="42"/>
      <c r="S8" s="42"/>
    </row>
    <row r="9" spans="1:19" ht="15.75">
      <c r="A9" s="42" t="s">
        <v>18</v>
      </c>
      <c r="B9" s="44" t="s">
        <v>18</v>
      </c>
      <c r="C9" s="42"/>
      <c r="D9" s="42"/>
      <c r="E9" s="42" t="s">
        <v>197</v>
      </c>
      <c r="F9" s="42"/>
      <c r="G9" s="42"/>
      <c r="H9" s="42"/>
      <c r="I9" s="42"/>
      <c r="J9" s="42"/>
      <c r="K9" s="42"/>
      <c r="L9" s="42"/>
      <c r="M9" s="42"/>
      <c r="N9" s="42"/>
      <c r="O9" s="42"/>
      <c r="P9" s="42"/>
      <c r="Q9" s="42"/>
      <c r="R9" s="42"/>
      <c r="S9" s="42"/>
    </row>
    <row r="10" spans="1:19" ht="15.75">
      <c r="A10" s="45" t="s">
        <v>19</v>
      </c>
      <c r="B10" s="42"/>
      <c r="C10" s="42"/>
      <c r="D10" s="42"/>
      <c r="E10" s="42"/>
      <c r="F10" s="42"/>
      <c r="G10" s="42"/>
      <c r="H10" s="42"/>
      <c r="I10" s="42"/>
      <c r="J10" s="42"/>
      <c r="K10" s="42"/>
      <c r="L10" s="42"/>
      <c r="M10" s="42"/>
      <c r="N10" s="42"/>
      <c r="O10" s="42"/>
      <c r="P10" s="42"/>
      <c r="Q10" s="42"/>
      <c r="R10" s="42"/>
      <c r="S10" s="42"/>
    </row>
    <row r="11" spans="1:19"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c r="Q11" s="42"/>
      <c r="R11" s="42"/>
      <c r="S11" s="42"/>
    </row>
    <row r="12" spans="1:19" ht="15.75">
      <c r="A12" s="44" t="str">
        <f>B2</f>
        <v>Decommissioning of battery ch. station, PEMFC-bat, Medium-Term</v>
      </c>
      <c r="B12" s="44">
        <v>1</v>
      </c>
      <c r="C12" s="44"/>
      <c r="D12" s="44" t="s">
        <v>18</v>
      </c>
      <c r="E12" s="42" t="s">
        <v>2</v>
      </c>
      <c r="F12" s="42" t="s">
        <v>1727</v>
      </c>
      <c r="G12" s="44" t="s">
        <v>58</v>
      </c>
      <c r="H12" s="42" t="s">
        <v>30</v>
      </c>
      <c r="I12" s="42">
        <v>0</v>
      </c>
      <c r="J12" s="44" t="s">
        <v>31</v>
      </c>
      <c r="K12" s="44" t="s">
        <v>31</v>
      </c>
      <c r="L12" s="44" t="s">
        <v>31</v>
      </c>
      <c r="M12" s="44" t="s">
        <v>31</v>
      </c>
      <c r="N12" s="44" t="s">
        <v>31</v>
      </c>
      <c r="O12" s="44"/>
      <c r="P12" s="42"/>
      <c r="Q12" s="42"/>
      <c r="R12" s="42"/>
      <c r="S12" s="42"/>
    </row>
    <row r="13" spans="1:19">
      <c r="A13" s="42" t="str">
        <f>converters!A67</f>
        <v>treatment of power electronics,Battery charging station, GT-bat, Medium-Term</v>
      </c>
      <c r="B13" s="42">
        <v>1</v>
      </c>
      <c r="C13" s="42"/>
      <c r="D13" s="42" t="s">
        <v>18</v>
      </c>
      <c r="E13" s="42" t="s">
        <v>2</v>
      </c>
      <c r="F13" s="42" t="s">
        <v>1728</v>
      </c>
      <c r="G13" s="42" t="s">
        <v>58</v>
      </c>
      <c r="H13" s="42" t="s">
        <v>33</v>
      </c>
      <c r="I13" s="42">
        <v>0</v>
      </c>
      <c r="J13" s="42" t="s">
        <v>31</v>
      </c>
      <c r="K13" s="42" t="s">
        <v>31</v>
      </c>
      <c r="L13" s="42" t="s">
        <v>31</v>
      </c>
      <c r="M13" s="42" t="s">
        <v>31</v>
      </c>
      <c r="N13" s="42" t="s">
        <v>31</v>
      </c>
      <c r="O13" s="42"/>
      <c r="P13" s="42"/>
      <c r="Q13" s="42"/>
      <c r="R13" s="42"/>
      <c r="S13" s="42"/>
    </row>
    <row r="14" spans="1:19">
      <c r="A14" s="42" t="str">
        <f>rest!B2</f>
        <v>treatment of alu,Battery charging station, GT-bat, Medium-Term</v>
      </c>
      <c r="B14" s="42">
        <v>1</v>
      </c>
      <c r="C14" s="42"/>
      <c r="D14" s="42" t="s">
        <v>18</v>
      </c>
      <c r="E14" s="42" t="s">
        <v>2</v>
      </c>
      <c r="F14" s="42" t="s">
        <v>1728</v>
      </c>
      <c r="G14" s="42" t="s">
        <v>58</v>
      </c>
      <c r="H14" s="42" t="s">
        <v>33</v>
      </c>
      <c r="I14" s="42">
        <v>0</v>
      </c>
      <c r="J14" s="42" t="s">
        <v>31</v>
      </c>
      <c r="K14" s="42" t="s">
        <v>31</v>
      </c>
      <c r="L14" s="42" t="s">
        <v>31</v>
      </c>
      <c r="M14" s="42" t="s">
        <v>31</v>
      </c>
      <c r="N14" s="42" t="s">
        <v>31</v>
      </c>
    </row>
    <row r="15" spans="1:19">
      <c r="A15" t="str">
        <f>rest!B17</f>
        <v>treatment of steel,Battery charging station, Gt-bat, Medium-Term</v>
      </c>
      <c r="B15" s="42">
        <v>1</v>
      </c>
      <c r="C15" s="42"/>
      <c r="D15" s="42" t="s">
        <v>18</v>
      </c>
      <c r="E15" s="42" t="s">
        <v>2</v>
      </c>
      <c r="F15" s="42" t="s">
        <v>1728</v>
      </c>
      <c r="G15" s="42" t="s">
        <v>58</v>
      </c>
      <c r="H15" s="42" t="s">
        <v>33</v>
      </c>
      <c r="I15" s="42">
        <v>0</v>
      </c>
      <c r="J15" s="42" t="s">
        <v>31</v>
      </c>
      <c r="K15" s="42" t="s">
        <v>31</v>
      </c>
      <c r="L15" s="42" t="s">
        <v>31</v>
      </c>
      <c r="M15" s="42" t="s">
        <v>31</v>
      </c>
      <c r="N15" s="42" t="s">
        <v>31</v>
      </c>
    </row>
    <row r="16" spans="1:19">
      <c r="A16" t="str">
        <f>rest!B31</f>
        <v>treatment of ferrite ,Battery charging station, Gt-bat, Medium-Term</v>
      </c>
      <c r="B16" s="42">
        <v>1</v>
      </c>
      <c r="C16" s="42"/>
      <c r="D16" s="42" t="s">
        <v>18</v>
      </c>
      <c r="E16" s="42" t="s">
        <v>2</v>
      </c>
      <c r="F16" s="42" t="s">
        <v>1728</v>
      </c>
      <c r="G16" s="42" t="s">
        <v>58</v>
      </c>
      <c r="H16" s="42" t="s">
        <v>33</v>
      </c>
      <c r="I16" s="42">
        <v>0</v>
      </c>
      <c r="J16" s="42" t="s">
        <v>31</v>
      </c>
      <c r="K16" s="42" t="s">
        <v>31</v>
      </c>
      <c r="L16" s="42" t="s">
        <v>31</v>
      </c>
      <c r="M16" s="42" t="s">
        <v>31</v>
      </c>
      <c r="N16" s="42" t="s">
        <v>31</v>
      </c>
    </row>
    <row r="17" spans="1:14">
      <c r="A17" t="str">
        <f>rest!B45</f>
        <v>treatment of electronic components and cables ,Battery charging station, Gt-bat, Medium-Term</v>
      </c>
      <c r="B17" s="42">
        <v>1</v>
      </c>
      <c r="C17" s="42"/>
      <c r="D17" s="42" t="s">
        <v>18</v>
      </c>
      <c r="E17" s="42" t="s">
        <v>2</v>
      </c>
      <c r="F17" s="42" t="s">
        <v>1728</v>
      </c>
      <c r="G17" s="42" t="s">
        <v>58</v>
      </c>
      <c r="H17" s="42" t="s">
        <v>33</v>
      </c>
      <c r="I17" s="42">
        <v>0</v>
      </c>
      <c r="J17" s="42" t="s">
        <v>31</v>
      </c>
      <c r="K17" s="42" t="s">
        <v>31</v>
      </c>
      <c r="L17" s="42" t="s">
        <v>31</v>
      </c>
      <c r="M17" s="42" t="s">
        <v>31</v>
      </c>
      <c r="N17" s="42" t="s">
        <v>31</v>
      </c>
    </row>
    <row r="18" spans="1:14">
      <c r="A18" t="str">
        <f>rest!B58</f>
        <v>treatment of remaining components,Battery charging station, GT-bat, Medium-Term</v>
      </c>
      <c r="B18" s="42">
        <v>1</v>
      </c>
      <c r="C18" s="42"/>
      <c r="D18" s="42" t="s">
        <v>18</v>
      </c>
      <c r="E18" s="42" t="s">
        <v>2</v>
      </c>
      <c r="F18" s="42" t="s">
        <v>1728</v>
      </c>
      <c r="G18" s="42" t="s">
        <v>58</v>
      </c>
      <c r="H18" s="42" t="s">
        <v>33</v>
      </c>
      <c r="I18" s="42">
        <v>0</v>
      </c>
      <c r="J18" s="42" t="s">
        <v>31</v>
      </c>
      <c r="K18" s="42" t="s">
        <v>31</v>
      </c>
      <c r="L18" s="42" t="s">
        <v>31</v>
      </c>
      <c r="M18" s="42" t="s">
        <v>31</v>
      </c>
      <c r="N18" s="42" t="s">
        <v>31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4124E-7069-4DBF-BE43-F85A263C2A15}">
  <dimension ref="A1:P72"/>
  <sheetViews>
    <sheetView topLeftCell="A7" zoomScale="85" zoomScaleNormal="85" workbookViewId="0">
      <selection activeCell="B13" sqref="B13"/>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56" customFormat="1" ht="15.75">
      <c r="A2" s="53" t="s">
        <v>5</v>
      </c>
      <c r="B2" s="53" t="s">
        <v>1729</v>
      </c>
      <c r="C2" s="53"/>
      <c r="D2" s="54"/>
      <c r="E2" s="55"/>
      <c r="F2" s="55"/>
      <c r="G2" s="55"/>
      <c r="H2" s="55"/>
      <c r="I2" s="55"/>
      <c r="J2" s="55"/>
      <c r="K2" s="55"/>
      <c r="L2" s="55"/>
      <c r="M2" s="55"/>
      <c r="N2" s="55"/>
      <c r="O2" s="55"/>
      <c r="P2" s="55"/>
    </row>
    <row r="3" spans="1:16">
      <c r="A3" s="42" t="s">
        <v>7</v>
      </c>
      <c r="B3" s="42" t="s">
        <v>1730</v>
      </c>
      <c r="C3" s="42"/>
      <c r="D3" s="42"/>
      <c r="E3" s="42"/>
      <c r="F3" s="42"/>
      <c r="G3" s="42"/>
      <c r="H3" s="42"/>
      <c r="I3" s="42"/>
      <c r="J3" s="42"/>
      <c r="K3" s="42"/>
      <c r="L3" s="42"/>
      <c r="M3" s="42"/>
      <c r="N3" s="42"/>
      <c r="O3" s="42"/>
      <c r="P3" s="42"/>
    </row>
    <row r="4" spans="1:16">
      <c r="A4" s="42" t="s">
        <v>9</v>
      </c>
      <c r="B4" s="43" t="s">
        <v>1731</v>
      </c>
      <c r="C4" s="42"/>
      <c r="D4" s="42"/>
      <c r="E4" s="42"/>
      <c r="F4" s="42"/>
      <c r="G4" s="42"/>
      <c r="H4" s="42"/>
      <c r="I4" s="42"/>
      <c r="J4" s="42"/>
      <c r="K4" s="42"/>
      <c r="L4" s="42"/>
      <c r="M4" s="42"/>
      <c r="N4" s="42"/>
      <c r="O4" s="42"/>
      <c r="P4" s="42"/>
    </row>
    <row r="5" spans="1:16">
      <c r="A5" s="42" t="s">
        <v>11</v>
      </c>
      <c r="B5" s="42" t="s">
        <v>1293</v>
      </c>
      <c r="C5" s="42"/>
      <c r="D5" s="42"/>
      <c r="E5" s="42"/>
      <c r="F5" s="42"/>
      <c r="G5" s="42"/>
      <c r="H5" s="42"/>
      <c r="I5" s="42"/>
      <c r="J5" s="42"/>
      <c r="K5" s="42"/>
      <c r="L5" s="42"/>
      <c r="M5" s="42"/>
      <c r="N5" s="42"/>
      <c r="O5" s="42"/>
      <c r="P5" s="42"/>
    </row>
    <row r="6" spans="1:16">
      <c r="A6" s="42" t="s">
        <v>13</v>
      </c>
      <c r="B6" s="42" t="s">
        <v>58</v>
      </c>
      <c r="C6" s="42"/>
      <c r="D6" s="42"/>
      <c r="E6" s="42"/>
      <c r="F6" s="42"/>
      <c r="G6" s="42"/>
      <c r="H6" s="42"/>
      <c r="I6" s="42"/>
      <c r="J6" s="42"/>
      <c r="K6" s="42"/>
      <c r="L6" s="42"/>
      <c r="M6" s="42"/>
      <c r="N6" s="42"/>
      <c r="O6" s="42"/>
      <c r="P6" s="42"/>
    </row>
    <row r="7" spans="1:16">
      <c r="A7" s="42" t="s">
        <v>15</v>
      </c>
      <c r="B7" s="42">
        <v>1</v>
      </c>
      <c r="C7" s="42"/>
      <c r="D7" s="42"/>
      <c r="E7" s="42"/>
      <c r="F7" s="42"/>
      <c r="G7" s="42"/>
      <c r="H7" s="42"/>
      <c r="I7" s="42"/>
      <c r="J7" s="42"/>
      <c r="K7" s="42"/>
      <c r="L7" s="42"/>
      <c r="M7" s="42"/>
      <c r="N7" s="42"/>
      <c r="O7" s="47"/>
      <c r="P7" s="42"/>
    </row>
    <row r="8" spans="1:16">
      <c r="A8" s="42" t="s">
        <v>16</v>
      </c>
      <c r="B8" s="42" t="s">
        <v>17</v>
      </c>
      <c r="C8" s="42"/>
      <c r="D8" s="42"/>
      <c r="E8" s="42"/>
      <c r="F8" s="42"/>
      <c r="G8" s="42"/>
      <c r="H8" s="42"/>
      <c r="I8" s="42"/>
      <c r="J8" s="42"/>
      <c r="K8" s="42"/>
      <c r="L8" s="42"/>
      <c r="M8" s="42"/>
      <c r="N8" s="42"/>
      <c r="O8" s="42"/>
      <c r="P8" s="42"/>
    </row>
    <row r="9" spans="1:16">
      <c r="A9" s="42" t="s">
        <v>18</v>
      </c>
      <c r="B9" s="199" t="s">
        <v>18</v>
      </c>
      <c r="C9" s="42"/>
      <c r="D9" s="42"/>
      <c r="E9" s="42" t="s">
        <v>197</v>
      </c>
      <c r="F9" s="42"/>
      <c r="G9" s="42"/>
      <c r="H9" s="42"/>
      <c r="I9" s="42"/>
      <c r="J9" s="42"/>
      <c r="K9" s="42"/>
      <c r="L9" s="42"/>
      <c r="M9" s="42"/>
      <c r="N9" s="42"/>
      <c r="O9" s="42"/>
      <c r="P9" s="42"/>
    </row>
    <row r="10" spans="1:16" ht="15.75">
      <c r="A10" s="45" t="s">
        <v>19</v>
      </c>
      <c r="B10" s="42"/>
      <c r="C10" s="42"/>
      <c r="D10" s="42"/>
      <c r="E10" s="42"/>
      <c r="F10" s="42"/>
      <c r="G10" s="42"/>
      <c r="H10" s="42"/>
      <c r="I10" s="42"/>
      <c r="J10" s="42"/>
      <c r="K10" s="42"/>
      <c r="L10" s="42"/>
      <c r="M10" s="42"/>
      <c r="N10" s="42"/>
      <c r="O10" s="42"/>
      <c r="P10" s="42"/>
    </row>
    <row r="11" spans="1:16"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16" ht="15.75">
      <c r="A12" s="44" t="s">
        <v>1729</v>
      </c>
      <c r="B12" s="44">
        <v>1</v>
      </c>
      <c r="C12" s="44"/>
      <c r="D12" s="44" t="s">
        <v>18</v>
      </c>
      <c r="E12" s="42" t="s">
        <v>2</v>
      </c>
      <c r="F12" s="42" t="s">
        <v>1728</v>
      </c>
      <c r="G12" s="44" t="s">
        <v>58</v>
      </c>
      <c r="H12" s="42" t="s">
        <v>30</v>
      </c>
      <c r="I12" s="42">
        <v>0</v>
      </c>
      <c r="J12" s="44" t="s">
        <v>31</v>
      </c>
      <c r="K12" s="44" t="s">
        <v>31</v>
      </c>
      <c r="L12" s="44" t="s">
        <v>31</v>
      </c>
      <c r="M12" s="44" t="s">
        <v>31</v>
      </c>
      <c r="N12" s="44" t="s">
        <v>31</v>
      </c>
      <c r="O12" s="42"/>
      <c r="P12" s="42"/>
    </row>
    <row r="13" spans="1:16" ht="15.75">
      <c r="A13" t="s">
        <v>369</v>
      </c>
      <c r="B13" s="23">
        <f>-0.308</f>
        <v>-0.308</v>
      </c>
      <c r="C13" s="44"/>
      <c r="D13" s="44" t="s">
        <v>37</v>
      </c>
      <c r="E13" s="47" t="s">
        <v>40</v>
      </c>
      <c r="F13" s="42" t="s">
        <v>1728</v>
      </c>
      <c r="G13" s="44" t="s">
        <v>128</v>
      </c>
      <c r="H13" s="42" t="s">
        <v>33</v>
      </c>
      <c r="I13" s="42">
        <v>0</v>
      </c>
      <c r="J13" s="44" t="s">
        <v>31</v>
      </c>
      <c r="K13" s="44" t="s">
        <v>31</v>
      </c>
      <c r="L13" s="44" t="s">
        <v>31</v>
      </c>
      <c r="M13" s="44" t="s">
        <v>31</v>
      </c>
      <c r="N13" s="44" t="s">
        <v>31</v>
      </c>
      <c r="O13" s="42" t="s">
        <v>1295</v>
      </c>
      <c r="P13" s="42" t="s">
        <v>1296</v>
      </c>
    </row>
    <row r="14" spans="1:16" s="56" customFormat="1" ht="15.75">
      <c r="A14" s="53" t="s">
        <v>5</v>
      </c>
      <c r="B14" s="53" t="s">
        <v>1732</v>
      </c>
      <c r="C14" s="53"/>
      <c r="D14" s="54"/>
      <c r="E14" s="55"/>
      <c r="F14" s="55"/>
      <c r="G14" s="55"/>
      <c r="H14" s="55"/>
      <c r="I14" s="55"/>
      <c r="J14" s="55"/>
      <c r="K14" s="55"/>
      <c r="L14" s="55"/>
      <c r="M14" s="55"/>
      <c r="N14" s="55"/>
      <c r="O14" s="55"/>
      <c r="P14" s="55"/>
    </row>
    <row r="15" spans="1:16">
      <c r="A15" s="42" t="s">
        <v>7</v>
      </c>
      <c r="B15" s="42" t="s">
        <v>1730</v>
      </c>
      <c r="C15" s="42"/>
      <c r="D15" s="42"/>
      <c r="E15" s="42"/>
      <c r="F15" s="42"/>
      <c r="G15" s="42"/>
      <c r="H15" s="42"/>
      <c r="I15" s="42"/>
      <c r="J15" s="42"/>
      <c r="K15" s="42"/>
      <c r="L15" s="42"/>
      <c r="M15" s="42"/>
      <c r="N15" s="42"/>
      <c r="O15" s="42"/>
      <c r="P15" s="42"/>
    </row>
    <row r="16" spans="1:16">
      <c r="A16" s="42" t="s">
        <v>9</v>
      </c>
      <c r="B16" s="43" t="s">
        <v>1733</v>
      </c>
      <c r="C16" s="42"/>
      <c r="D16" s="42"/>
      <c r="E16" s="42"/>
      <c r="F16" s="42"/>
      <c r="G16" s="42"/>
      <c r="H16" s="42"/>
      <c r="I16" s="42"/>
      <c r="J16" s="42"/>
      <c r="K16" s="42"/>
      <c r="L16" s="42"/>
      <c r="M16" s="42"/>
      <c r="N16" s="42"/>
      <c r="O16" s="42"/>
      <c r="P16" s="42"/>
    </row>
    <row r="17" spans="1:16">
      <c r="A17" s="42" t="s">
        <v>11</v>
      </c>
      <c r="B17" s="42" t="s">
        <v>1299</v>
      </c>
      <c r="C17" s="42"/>
      <c r="D17" s="42"/>
      <c r="E17" s="42"/>
      <c r="F17" s="42"/>
      <c r="G17" s="42"/>
      <c r="H17" s="42"/>
      <c r="I17" s="42"/>
      <c r="J17" s="42"/>
      <c r="K17" s="42"/>
      <c r="L17" s="42"/>
      <c r="M17" s="42"/>
      <c r="N17" s="42"/>
      <c r="O17" s="42"/>
      <c r="P17" s="42"/>
    </row>
    <row r="18" spans="1:16">
      <c r="A18" s="42" t="s">
        <v>13</v>
      </c>
      <c r="B18" s="42" t="s">
        <v>58</v>
      </c>
      <c r="C18" s="42"/>
      <c r="D18" s="42"/>
      <c r="E18" s="42"/>
      <c r="F18" s="42"/>
      <c r="G18" s="42"/>
      <c r="H18" s="42"/>
      <c r="I18" s="42"/>
      <c r="J18" s="42"/>
      <c r="K18" s="42"/>
      <c r="L18" s="42"/>
      <c r="M18" s="42"/>
      <c r="N18" s="42"/>
      <c r="O18" s="42"/>
      <c r="P18" s="42"/>
    </row>
    <row r="19" spans="1:16">
      <c r="A19" s="42" t="s">
        <v>15</v>
      </c>
      <c r="B19" s="42">
        <v>1</v>
      </c>
      <c r="C19" s="42"/>
      <c r="D19" s="42"/>
      <c r="E19" s="42"/>
      <c r="F19" s="42"/>
      <c r="G19" s="42"/>
      <c r="H19" s="42"/>
      <c r="I19" s="42"/>
      <c r="J19" s="42"/>
      <c r="K19" s="42"/>
      <c r="L19" s="42"/>
      <c r="M19" s="42"/>
      <c r="N19" s="42"/>
      <c r="O19" s="42"/>
      <c r="P19" s="42"/>
    </row>
    <row r="20" spans="1:16">
      <c r="A20" s="42" t="s">
        <v>16</v>
      </c>
      <c r="B20" s="42" t="s">
        <v>17</v>
      </c>
      <c r="C20" s="42"/>
      <c r="D20" s="42"/>
      <c r="E20" s="42"/>
      <c r="F20" s="42"/>
      <c r="G20" s="42"/>
      <c r="H20" s="42"/>
      <c r="I20" s="42"/>
      <c r="J20" s="42"/>
      <c r="K20" s="42"/>
      <c r="L20" s="42"/>
      <c r="M20" s="42"/>
      <c r="N20" s="42"/>
      <c r="O20" s="42"/>
      <c r="P20" s="42"/>
    </row>
    <row r="21" spans="1:16">
      <c r="A21" s="42" t="s">
        <v>18</v>
      </c>
      <c r="B21" s="42" t="s">
        <v>18</v>
      </c>
      <c r="C21" s="42"/>
      <c r="D21" s="42"/>
      <c r="E21" s="42" t="s">
        <v>197</v>
      </c>
      <c r="F21" s="42"/>
      <c r="G21" s="42"/>
      <c r="H21" s="42"/>
      <c r="I21" s="42"/>
      <c r="J21" s="42"/>
      <c r="K21" s="42"/>
      <c r="L21" s="42"/>
      <c r="M21" s="42"/>
      <c r="N21" s="42"/>
      <c r="O21" s="42"/>
      <c r="P21" s="42"/>
    </row>
    <row r="22" spans="1:16" ht="15.75">
      <c r="A22" s="45" t="s">
        <v>19</v>
      </c>
      <c r="B22" s="42"/>
      <c r="C22" s="42"/>
      <c r="D22" s="42"/>
      <c r="E22" s="42"/>
      <c r="F22" s="42"/>
      <c r="G22" s="42"/>
      <c r="H22" s="42"/>
      <c r="I22" s="42"/>
      <c r="J22" s="42"/>
      <c r="K22" s="42"/>
      <c r="L22" s="42"/>
      <c r="M22" s="42"/>
      <c r="N22" s="42"/>
      <c r="O22" s="42"/>
      <c r="P22" s="42"/>
    </row>
    <row r="23" spans="1:16" ht="15.75">
      <c r="A23" s="45" t="s">
        <v>20</v>
      </c>
      <c r="B23" s="45" t="s">
        <v>21</v>
      </c>
      <c r="C23" s="45" t="s">
        <v>198</v>
      </c>
      <c r="D23" s="45" t="s">
        <v>18</v>
      </c>
      <c r="E23" s="45" t="s">
        <v>22</v>
      </c>
      <c r="F23" s="45" t="s">
        <v>7</v>
      </c>
      <c r="G23" s="45" t="s">
        <v>13</v>
      </c>
      <c r="H23" s="45" t="s">
        <v>16</v>
      </c>
      <c r="I23" s="45" t="s">
        <v>23</v>
      </c>
      <c r="J23" s="45" t="s">
        <v>24</v>
      </c>
      <c r="K23" s="45" t="s">
        <v>25</v>
      </c>
      <c r="L23" s="45" t="s">
        <v>26</v>
      </c>
      <c r="M23" s="45" t="s">
        <v>27</v>
      </c>
      <c r="N23" s="45" t="s">
        <v>28</v>
      </c>
      <c r="O23" s="45" t="s">
        <v>11</v>
      </c>
      <c r="P23" s="45" t="s">
        <v>199</v>
      </c>
    </row>
    <row r="24" spans="1:16" ht="15.75">
      <c r="A24" s="44" t="s">
        <v>1732</v>
      </c>
      <c r="B24" s="44">
        <v>1</v>
      </c>
      <c r="C24" s="44"/>
      <c r="D24" s="44" t="s">
        <v>18</v>
      </c>
      <c r="E24" s="42" t="s">
        <v>2</v>
      </c>
      <c r="F24" s="42" t="s">
        <v>1728</v>
      </c>
      <c r="G24" s="44" t="s">
        <v>58</v>
      </c>
      <c r="H24" s="42" t="s">
        <v>30</v>
      </c>
      <c r="I24" s="42">
        <v>0</v>
      </c>
      <c r="J24" s="44" t="s">
        <v>31</v>
      </c>
      <c r="K24" s="44" t="s">
        <v>31</v>
      </c>
      <c r="L24" s="44" t="s">
        <v>31</v>
      </c>
      <c r="M24" s="44" t="s">
        <v>31</v>
      </c>
      <c r="N24" s="44" t="s">
        <v>31</v>
      </c>
      <c r="O24" s="42" t="s">
        <v>1300</v>
      </c>
      <c r="P24" s="42"/>
    </row>
    <row r="25" spans="1:16" ht="15.75">
      <c r="A25" t="s">
        <v>245</v>
      </c>
      <c r="B25" s="23">
        <v>17.3081</v>
      </c>
      <c r="C25" s="44"/>
      <c r="D25" s="44" t="s">
        <v>37</v>
      </c>
      <c r="E25" s="32" t="s">
        <v>40</v>
      </c>
      <c r="F25" s="42" t="s">
        <v>1728</v>
      </c>
      <c r="G25" t="s">
        <v>128</v>
      </c>
      <c r="H25" s="42" t="s">
        <v>33</v>
      </c>
      <c r="I25" s="42">
        <v>0</v>
      </c>
      <c r="J25" s="44" t="s">
        <v>31</v>
      </c>
      <c r="K25" s="44" t="s">
        <v>31</v>
      </c>
      <c r="L25" s="44" t="s">
        <v>31</v>
      </c>
      <c r="M25" s="44" t="s">
        <v>31</v>
      </c>
      <c r="N25" s="44" t="s">
        <v>31</v>
      </c>
      <c r="O25" s="42"/>
      <c r="P25" s="42"/>
    </row>
    <row r="26" spans="1:16" ht="15.75">
      <c r="A26" t="s">
        <v>247</v>
      </c>
      <c r="B26" s="23">
        <v>17.3081</v>
      </c>
      <c r="C26" s="22" t="s">
        <v>248</v>
      </c>
      <c r="D26" t="s">
        <v>37</v>
      </c>
      <c r="E26" s="46" t="s">
        <v>40</v>
      </c>
      <c r="F26" s="42" t="s">
        <v>1728</v>
      </c>
      <c r="G26" t="s">
        <v>128</v>
      </c>
      <c r="H26" s="42" t="s">
        <v>33</v>
      </c>
      <c r="I26" s="42">
        <v>0</v>
      </c>
      <c r="J26" s="44" t="s">
        <v>31</v>
      </c>
      <c r="K26" s="44" t="s">
        <v>31</v>
      </c>
      <c r="L26" s="44" t="s">
        <v>31</v>
      </c>
      <c r="M26" s="44" t="s">
        <v>31</v>
      </c>
      <c r="N26" s="44" t="s">
        <v>31</v>
      </c>
      <c r="O26" t="s">
        <v>378</v>
      </c>
    </row>
    <row r="27" spans="1:16" ht="15.75">
      <c r="A27" t="s">
        <v>329</v>
      </c>
      <c r="B27" s="23">
        <v>17.3081</v>
      </c>
      <c r="D27" t="s">
        <v>37</v>
      </c>
      <c r="E27" s="46" t="s">
        <v>40</v>
      </c>
      <c r="F27" s="42" t="s">
        <v>1728</v>
      </c>
      <c r="G27" t="s">
        <v>58</v>
      </c>
      <c r="H27" s="42" t="s">
        <v>243</v>
      </c>
      <c r="I27" s="42">
        <v>0</v>
      </c>
      <c r="J27" s="44" t="s">
        <v>31</v>
      </c>
      <c r="K27" s="44" t="s">
        <v>31</v>
      </c>
      <c r="L27" s="44" t="s">
        <v>31</v>
      </c>
      <c r="M27" s="44" t="s">
        <v>31</v>
      </c>
      <c r="N27" s="44" t="s">
        <v>31</v>
      </c>
      <c r="O27" s="42" t="s">
        <v>1301</v>
      </c>
    </row>
    <row r="28" spans="1:16" ht="15.75">
      <c r="A28" t="s">
        <v>424</v>
      </c>
      <c r="B28">
        <v>11.56</v>
      </c>
      <c r="C28" t="s">
        <v>425</v>
      </c>
      <c r="D28" t="s">
        <v>37</v>
      </c>
      <c r="E28" s="46" t="s">
        <v>40</v>
      </c>
      <c r="F28" s="42" t="s">
        <v>1728</v>
      </c>
      <c r="G28" t="s">
        <v>128</v>
      </c>
      <c r="H28" t="s">
        <v>33</v>
      </c>
      <c r="I28" s="42">
        <v>0</v>
      </c>
      <c r="J28" s="44" t="s">
        <v>31</v>
      </c>
      <c r="K28" s="44" t="s">
        <v>31</v>
      </c>
      <c r="L28" s="44" t="s">
        <v>31</v>
      </c>
      <c r="M28" s="44" t="s">
        <v>31</v>
      </c>
      <c r="N28" s="44" t="s">
        <v>31</v>
      </c>
    </row>
    <row r="29" spans="1:16" ht="15.75">
      <c r="A29" t="s">
        <v>1302</v>
      </c>
      <c r="B29">
        <f>0.9*B28</f>
        <v>10.404</v>
      </c>
      <c r="D29" t="s">
        <v>37</v>
      </c>
      <c r="E29" s="46" t="s">
        <v>40</v>
      </c>
      <c r="F29" s="42" t="s">
        <v>1728</v>
      </c>
      <c r="G29" t="s">
        <v>58</v>
      </c>
      <c r="H29" t="s">
        <v>243</v>
      </c>
      <c r="I29" s="42">
        <v>0</v>
      </c>
      <c r="J29" s="44" t="s">
        <v>31</v>
      </c>
      <c r="K29" s="44" t="s">
        <v>31</v>
      </c>
      <c r="L29" s="44" t="s">
        <v>31</v>
      </c>
      <c r="M29" s="44" t="s">
        <v>31</v>
      </c>
      <c r="N29" s="44" t="s">
        <v>31</v>
      </c>
      <c r="O29" s="42" t="s">
        <v>1301</v>
      </c>
    </row>
    <row r="30" spans="1:16" ht="16.5" customHeight="1">
      <c r="A30" t="s">
        <v>380</v>
      </c>
      <c r="B30" s="23">
        <f>-((B28-B29)+(B26-B27)+3.215)</f>
        <v>-4.3710000000000004</v>
      </c>
      <c r="D30" t="s">
        <v>37</v>
      </c>
      <c r="E30" s="47" t="s">
        <v>40</v>
      </c>
      <c r="F30" s="42" t="s">
        <v>1728</v>
      </c>
      <c r="G30" t="s">
        <v>58</v>
      </c>
      <c r="H30" t="s">
        <v>33</v>
      </c>
      <c r="I30">
        <v>0</v>
      </c>
      <c r="J30" t="s">
        <v>31</v>
      </c>
      <c r="K30" t="s">
        <v>31</v>
      </c>
      <c r="L30" t="s">
        <v>31</v>
      </c>
      <c r="M30" t="s">
        <v>31</v>
      </c>
      <c r="N30" t="s">
        <v>31</v>
      </c>
      <c r="O30" s="17" t="s">
        <v>1303</v>
      </c>
    </row>
    <row r="31" spans="1:16" s="56" customFormat="1" ht="15.75">
      <c r="A31" s="53" t="s">
        <v>5</v>
      </c>
      <c r="B31" s="53" t="s">
        <v>1734</v>
      </c>
      <c r="C31" s="53"/>
      <c r="D31" s="54"/>
      <c r="E31" s="55"/>
      <c r="F31" s="55"/>
      <c r="G31" s="55"/>
      <c r="H31" s="55"/>
      <c r="I31" s="55"/>
      <c r="J31" s="55"/>
      <c r="K31" s="55"/>
      <c r="L31" s="55"/>
      <c r="M31" s="55"/>
      <c r="N31" s="55"/>
      <c r="O31" s="55"/>
      <c r="P31" s="55"/>
    </row>
    <row r="32" spans="1:16">
      <c r="A32" s="42" t="s">
        <v>7</v>
      </c>
      <c r="B32" s="42" t="s">
        <v>1730</v>
      </c>
      <c r="C32" s="42"/>
      <c r="D32" s="42"/>
      <c r="E32" s="42"/>
      <c r="F32" s="42"/>
      <c r="G32" s="42"/>
      <c r="H32" s="42"/>
      <c r="I32" s="42"/>
      <c r="J32" s="42"/>
      <c r="K32" s="42"/>
      <c r="L32" s="42"/>
      <c r="M32" s="42"/>
      <c r="N32" s="42"/>
      <c r="O32" s="42"/>
      <c r="P32" s="42"/>
    </row>
    <row r="33" spans="1:16">
      <c r="A33" s="42" t="s">
        <v>9</v>
      </c>
      <c r="B33" s="43" t="s">
        <v>1735</v>
      </c>
      <c r="C33" s="42"/>
      <c r="D33" s="42"/>
      <c r="E33" s="42"/>
      <c r="F33" s="42"/>
      <c r="G33" s="42"/>
      <c r="H33" s="42"/>
      <c r="I33" s="42"/>
      <c r="J33" s="42"/>
      <c r="K33" s="42"/>
      <c r="L33" s="42"/>
      <c r="M33" s="42"/>
      <c r="N33" s="42"/>
      <c r="O33" s="42"/>
      <c r="P33" s="42"/>
    </row>
    <row r="34" spans="1:16">
      <c r="A34" s="42" t="s">
        <v>11</v>
      </c>
      <c r="B34" s="42" t="s">
        <v>1306</v>
      </c>
      <c r="C34" s="42"/>
      <c r="D34" s="42"/>
      <c r="E34" s="42"/>
      <c r="F34" s="42"/>
      <c r="G34" s="42"/>
      <c r="H34" s="42"/>
      <c r="I34" s="42"/>
      <c r="J34" s="42"/>
      <c r="K34" s="42"/>
      <c r="L34" s="42"/>
      <c r="M34" s="42"/>
      <c r="N34" s="42"/>
      <c r="O34" s="42"/>
      <c r="P34" s="42"/>
    </row>
    <row r="35" spans="1:16">
      <c r="A35" s="42" t="s">
        <v>13</v>
      </c>
      <c r="B35" s="42" t="s">
        <v>58</v>
      </c>
      <c r="C35" s="42"/>
      <c r="D35" s="42"/>
      <c r="E35" s="42"/>
      <c r="F35" s="42"/>
      <c r="G35" s="42"/>
      <c r="H35" s="42"/>
      <c r="I35" s="42"/>
      <c r="J35" s="42"/>
      <c r="K35" s="42"/>
      <c r="L35" s="42"/>
      <c r="M35" s="42"/>
      <c r="N35" s="42"/>
      <c r="O35" s="42"/>
      <c r="P35" s="42"/>
    </row>
    <row r="36" spans="1:16">
      <c r="A36" s="42" t="s">
        <v>15</v>
      </c>
      <c r="B36" s="42">
        <v>1</v>
      </c>
      <c r="C36" s="42"/>
      <c r="D36" s="42"/>
      <c r="E36" s="42"/>
      <c r="F36" s="42"/>
      <c r="G36" s="42"/>
      <c r="H36" s="42"/>
      <c r="I36" s="42"/>
      <c r="J36" s="42"/>
      <c r="K36" s="42"/>
      <c r="L36" s="42"/>
      <c r="M36" s="42"/>
      <c r="N36" s="42"/>
      <c r="O36" s="42"/>
      <c r="P36" s="42"/>
    </row>
    <row r="37" spans="1:16">
      <c r="A37" s="42" t="s">
        <v>16</v>
      </c>
      <c r="B37" s="42" t="s">
        <v>17</v>
      </c>
      <c r="C37" s="42"/>
      <c r="D37" s="42"/>
      <c r="E37" s="42"/>
      <c r="F37" s="42"/>
      <c r="G37" s="42"/>
      <c r="H37" s="42"/>
      <c r="I37" s="42"/>
      <c r="J37" s="42"/>
      <c r="K37" s="42"/>
      <c r="L37" s="42"/>
      <c r="M37" s="42"/>
      <c r="N37" s="42"/>
      <c r="O37" s="42"/>
      <c r="P37" s="42"/>
    </row>
    <row r="38" spans="1:16">
      <c r="A38" s="42" t="s">
        <v>18</v>
      </c>
      <c r="B38" s="42" t="s">
        <v>18</v>
      </c>
      <c r="C38" s="42"/>
      <c r="D38" s="42"/>
      <c r="E38" s="42" t="s">
        <v>197</v>
      </c>
      <c r="F38" s="42"/>
      <c r="G38" s="42"/>
      <c r="H38" s="42"/>
      <c r="I38" s="42"/>
      <c r="J38" s="42"/>
      <c r="K38" s="42"/>
      <c r="L38" s="42"/>
      <c r="M38" s="42"/>
      <c r="N38" s="42"/>
      <c r="O38" s="42"/>
      <c r="P38" s="42"/>
    </row>
    <row r="39" spans="1:16" ht="15.75">
      <c r="A39" s="45" t="s">
        <v>19</v>
      </c>
      <c r="B39" s="42"/>
      <c r="C39" s="42"/>
      <c r="D39" s="42"/>
      <c r="E39" s="42"/>
      <c r="F39" s="42"/>
      <c r="G39" s="42"/>
      <c r="H39" s="42"/>
      <c r="I39" s="42"/>
      <c r="J39" s="42"/>
      <c r="K39" s="42"/>
      <c r="L39" s="42"/>
      <c r="M39" s="42"/>
      <c r="N39" s="42"/>
      <c r="O39" s="42"/>
      <c r="P39" s="42"/>
    </row>
    <row r="40" spans="1:16" ht="15.75">
      <c r="A40" s="45" t="s">
        <v>20</v>
      </c>
      <c r="B40" s="45" t="s">
        <v>21</v>
      </c>
      <c r="C40" s="45" t="s">
        <v>198</v>
      </c>
      <c r="D40" s="45" t="s">
        <v>18</v>
      </c>
      <c r="E40" s="45" t="s">
        <v>22</v>
      </c>
      <c r="F40" s="45" t="s">
        <v>7</v>
      </c>
      <c r="G40" s="45" t="s">
        <v>13</v>
      </c>
      <c r="H40" s="45" t="s">
        <v>16</v>
      </c>
      <c r="I40" s="45" t="s">
        <v>23</v>
      </c>
      <c r="J40" s="45" t="s">
        <v>24</v>
      </c>
      <c r="K40" s="45" t="s">
        <v>25</v>
      </c>
      <c r="L40" s="45" t="s">
        <v>26</v>
      </c>
      <c r="M40" s="45" t="s">
        <v>27</v>
      </c>
      <c r="N40" s="45" t="s">
        <v>28</v>
      </c>
      <c r="O40" s="45" t="s">
        <v>11</v>
      </c>
      <c r="P40" s="45" t="s">
        <v>199</v>
      </c>
    </row>
    <row r="41" spans="1:16" ht="15.75">
      <c r="A41" s="44" t="s">
        <v>1734</v>
      </c>
      <c r="B41" s="44">
        <v>1</v>
      </c>
      <c r="C41" s="44"/>
      <c r="D41" s="44" t="s">
        <v>18</v>
      </c>
      <c r="E41" s="42" t="s">
        <v>2</v>
      </c>
      <c r="F41" s="42" t="s">
        <v>1728</v>
      </c>
      <c r="G41" s="44" t="s">
        <v>58</v>
      </c>
      <c r="H41" s="42" t="s">
        <v>30</v>
      </c>
      <c r="I41" s="42">
        <v>0</v>
      </c>
      <c r="J41" s="44" t="s">
        <v>31</v>
      </c>
      <c r="K41" s="44" t="s">
        <v>31</v>
      </c>
      <c r="L41" s="44" t="s">
        <v>31</v>
      </c>
      <c r="M41" s="44" t="s">
        <v>31</v>
      </c>
      <c r="N41" s="44" t="s">
        <v>31</v>
      </c>
      <c r="O41" s="42" t="s">
        <v>1307</v>
      </c>
      <c r="P41" s="42"/>
    </row>
    <row r="42" spans="1:16" ht="15.75">
      <c r="A42" s="47" t="s">
        <v>567</v>
      </c>
      <c r="B42">
        <v>-5.09</v>
      </c>
      <c r="D42" t="s">
        <v>37</v>
      </c>
      <c r="E42" s="46" t="s">
        <v>40</v>
      </c>
      <c r="F42" s="42" t="s">
        <v>1728</v>
      </c>
      <c r="G42" t="s">
        <v>128</v>
      </c>
      <c r="H42" t="s">
        <v>33</v>
      </c>
      <c r="I42" s="42">
        <v>0</v>
      </c>
      <c r="J42" s="44" t="s">
        <v>31</v>
      </c>
      <c r="K42" s="44" t="s">
        <v>31</v>
      </c>
      <c r="L42" s="44" t="s">
        <v>31</v>
      </c>
      <c r="M42" s="44" t="s">
        <v>31</v>
      </c>
      <c r="N42" s="44" t="s">
        <v>31</v>
      </c>
      <c r="O42" s="42" t="s">
        <v>1307</v>
      </c>
      <c r="P42" s="44" t="s">
        <v>1308</v>
      </c>
    </row>
    <row r="43" spans="1:16" ht="15.75">
      <c r="A43" t="s">
        <v>38</v>
      </c>
      <c r="B43">
        <f>B44*0.277777777</f>
        <v>24.587527708932701</v>
      </c>
      <c r="D43" t="s">
        <v>39</v>
      </c>
      <c r="E43" s="46" t="s">
        <v>40</v>
      </c>
      <c r="F43" s="42" t="s">
        <v>1728</v>
      </c>
      <c r="G43" t="s">
        <v>58</v>
      </c>
      <c r="H43" s="42" t="s">
        <v>243</v>
      </c>
      <c r="I43" s="42">
        <v>0</v>
      </c>
      <c r="J43" s="44" t="s">
        <v>31</v>
      </c>
      <c r="K43" s="44" t="s">
        <v>31</v>
      </c>
      <c r="L43" s="44" t="s">
        <v>31</v>
      </c>
      <c r="M43" s="44" t="s">
        <v>31</v>
      </c>
      <c r="N43" s="44" t="s">
        <v>31</v>
      </c>
      <c r="O43" t="s">
        <v>1309</v>
      </c>
    </row>
    <row r="44" spans="1:16" ht="15.75">
      <c r="A44" t="s">
        <v>220</v>
      </c>
      <c r="B44">
        <f>-B42*0.5*34.78</f>
        <v>88.515100000000004</v>
      </c>
      <c r="D44" t="s">
        <v>170</v>
      </c>
      <c r="E44" s="46" t="s">
        <v>40</v>
      </c>
      <c r="F44" s="42" t="s">
        <v>1728</v>
      </c>
      <c r="G44" t="s">
        <v>58</v>
      </c>
      <c r="H44" s="42" t="s">
        <v>243</v>
      </c>
      <c r="I44" s="42">
        <v>0</v>
      </c>
      <c r="J44" s="44" t="s">
        <v>31</v>
      </c>
      <c r="K44" s="44" t="s">
        <v>31</v>
      </c>
      <c r="L44" s="44" t="s">
        <v>31</v>
      </c>
      <c r="M44" s="44" t="s">
        <v>31</v>
      </c>
      <c r="N44" s="44" t="s">
        <v>31</v>
      </c>
      <c r="O44" t="s">
        <v>1310</v>
      </c>
    </row>
    <row r="45" spans="1:16" s="56" customFormat="1" ht="15.75">
      <c r="A45" s="53" t="s">
        <v>5</v>
      </c>
      <c r="B45" s="53" t="s">
        <v>1736</v>
      </c>
      <c r="C45" s="53"/>
      <c r="D45" s="54"/>
      <c r="E45" s="55"/>
      <c r="F45" s="55"/>
      <c r="G45" s="55"/>
      <c r="H45" s="55"/>
      <c r="I45" s="55"/>
      <c r="J45" s="55"/>
      <c r="K45" s="55"/>
      <c r="L45" s="55"/>
      <c r="M45" s="55"/>
      <c r="N45" s="55"/>
      <c r="O45" s="55"/>
      <c r="P45" s="55"/>
    </row>
    <row r="46" spans="1:16">
      <c r="A46" s="42" t="s">
        <v>7</v>
      </c>
      <c r="B46" s="42" t="s">
        <v>1730</v>
      </c>
      <c r="C46" s="42"/>
      <c r="D46" s="42"/>
      <c r="E46" s="42"/>
      <c r="F46" s="42"/>
      <c r="G46" s="42"/>
      <c r="H46" s="42"/>
      <c r="I46" s="42"/>
      <c r="J46" s="42"/>
      <c r="K46" s="42"/>
      <c r="L46" s="42"/>
      <c r="M46" s="42"/>
      <c r="N46" s="42"/>
      <c r="O46" s="42"/>
      <c r="P46" s="42"/>
    </row>
    <row r="47" spans="1:16">
      <c r="A47" s="42" t="s">
        <v>9</v>
      </c>
      <c r="B47" s="43" t="s">
        <v>1737</v>
      </c>
      <c r="C47" s="42"/>
      <c r="D47" s="42"/>
      <c r="E47" s="42"/>
      <c r="F47" s="42"/>
      <c r="G47" s="42"/>
      <c r="H47" s="42"/>
      <c r="I47" s="42"/>
      <c r="J47" s="42"/>
      <c r="K47" s="42"/>
      <c r="L47" s="42"/>
      <c r="M47" s="42"/>
      <c r="N47" s="42"/>
      <c r="O47" s="42"/>
      <c r="P47" s="42"/>
    </row>
    <row r="48" spans="1:16">
      <c r="A48" s="42" t="s">
        <v>11</v>
      </c>
      <c r="B48" s="42" t="s">
        <v>1313</v>
      </c>
      <c r="C48" s="42"/>
      <c r="D48" s="42"/>
      <c r="E48" s="42"/>
      <c r="F48" s="42"/>
      <c r="G48" s="42"/>
      <c r="H48" s="42"/>
      <c r="I48" s="42"/>
      <c r="J48" s="42"/>
      <c r="K48" s="42"/>
      <c r="L48" s="42"/>
      <c r="M48" s="42"/>
      <c r="N48" s="42"/>
      <c r="O48" s="42"/>
      <c r="P48" s="42"/>
    </row>
    <row r="49" spans="1:16">
      <c r="A49" s="42" t="s">
        <v>13</v>
      </c>
      <c r="B49" s="42" t="s">
        <v>58</v>
      </c>
      <c r="C49" s="42"/>
      <c r="D49" s="42"/>
      <c r="E49" s="42"/>
      <c r="F49" s="42"/>
      <c r="G49" s="42"/>
      <c r="H49" s="42"/>
      <c r="I49" s="42"/>
      <c r="J49" s="42"/>
      <c r="K49" s="42"/>
      <c r="L49" s="42"/>
      <c r="M49" s="42"/>
      <c r="N49" s="42"/>
      <c r="O49" s="42"/>
      <c r="P49" s="42"/>
    </row>
    <row r="50" spans="1:16">
      <c r="A50" s="42" t="s">
        <v>15</v>
      </c>
      <c r="B50" s="42">
        <v>1</v>
      </c>
      <c r="C50" s="42"/>
      <c r="D50" s="42"/>
      <c r="E50" s="42"/>
      <c r="F50" s="42"/>
      <c r="G50" s="42"/>
      <c r="H50" s="42"/>
      <c r="I50" s="42"/>
      <c r="J50" s="42"/>
      <c r="K50" s="42"/>
      <c r="L50" s="42"/>
      <c r="M50" s="42"/>
      <c r="N50" s="42"/>
      <c r="O50" s="42"/>
      <c r="P50" s="42"/>
    </row>
    <row r="51" spans="1:16">
      <c r="A51" s="42" t="s">
        <v>16</v>
      </c>
      <c r="B51" s="42" t="s">
        <v>17</v>
      </c>
      <c r="C51" s="42"/>
      <c r="D51" s="42"/>
      <c r="E51" s="42"/>
      <c r="F51" s="42"/>
      <c r="G51" s="42"/>
      <c r="H51" s="42"/>
      <c r="I51" s="42"/>
      <c r="J51" s="42"/>
      <c r="K51" s="42"/>
      <c r="L51" s="42"/>
      <c r="M51" s="42"/>
      <c r="N51" s="42"/>
      <c r="O51" s="42"/>
      <c r="P51" s="42"/>
    </row>
    <row r="52" spans="1:16">
      <c r="A52" s="42" t="s">
        <v>18</v>
      </c>
      <c r="B52" s="42" t="s">
        <v>18</v>
      </c>
      <c r="C52" s="42"/>
      <c r="D52" s="42"/>
      <c r="E52" s="42" t="s">
        <v>197</v>
      </c>
      <c r="F52" s="42"/>
      <c r="G52" s="42"/>
      <c r="H52" s="42"/>
      <c r="I52" s="42"/>
      <c r="J52" s="42"/>
      <c r="K52" s="42"/>
      <c r="L52" s="42"/>
      <c r="M52" s="42"/>
      <c r="N52" s="42"/>
      <c r="O52" s="42"/>
      <c r="P52" s="42"/>
    </row>
    <row r="53" spans="1:16" ht="15.75">
      <c r="A53" s="45" t="s">
        <v>19</v>
      </c>
      <c r="B53" s="42"/>
      <c r="C53" s="42"/>
      <c r="D53" s="42"/>
      <c r="E53" s="42"/>
      <c r="F53" s="42"/>
      <c r="G53" s="42"/>
      <c r="H53" s="42"/>
      <c r="I53" s="42"/>
      <c r="J53" s="42"/>
      <c r="K53" s="42"/>
      <c r="L53" s="42"/>
      <c r="M53" s="42"/>
      <c r="N53" s="42"/>
      <c r="O53" s="42"/>
      <c r="P53" s="42"/>
    </row>
    <row r="54" spans="1:16" ht="15.75">
      <c r="A54" s="45" t="s">
        <v>20</v>
      </c>
      <c r="B54" s="45" t="s">
        <v>21</v>
      </c>
      <c r="C54" s="45" t="s">
        <v>198</v>
      </c>
      <c r="D54" s="45" t="s">
        <v>18</v>
      </c>
      <c r="E54" s="45" t="s">
        <v>22</v>
      </c>
      <c r="F54" s="45" t="s">
        <v>7</v>
      </c>
      <c r="G54" s="45" t="s">
        <v>13</v>
      </c>
      <c r="H54" s="45" t="s">
        <v>16</v>
      </c>
      <c r="I54" s="45" t="s">
        <v>23</v>
      </c>
      <c r="J54" s="45" t="s">
        <v>24</v>
      </c>
      <c r="K54" s="45" t="s">
        <v>25</v>
      </c>
      <c r="L54" s="45" t="s">
        <v>26</v>
      </c>
      <c r="M54" s="45" t="s">
        <v>27</v>
      </c>
      <c r="N54" s="45" t="s">
        <v>28</v>
      </c>
      <c r="O54" s="45" t="s">
        <v>11</v>
      </c>
      <c r="P54" s="45" t="s">
        <v>199</v>
      </c>
    </row>
    <row r="55" spans="1:16" ht="15.75">
      <c r="A55" s="44" t="s">
        <v>1736</v>
      </c>
      <c r="B55" s="44">
        <v>1</v>
      </c>
      <c r="C55" s="44"/>
      <c r="D55" s="44" t="s">
        <v>18</v>
      </c>
      <c r="E55" s="42" t="s">
        <v>2</v>
      </c>
      <c r="F55" s="42" t="s">
        <v>1728</v>
      </c>
      <c r="G55" s="44" t="s">
        <v>58</v>
      </c>
      <c r="H55" s="42" t="s">
        <v>30</v>
      </c>
      <c r="I55" s="42">
        <v>0</v>
      </c>
      <c r="J55" s="44" t="s">
        <v>31</v>
      </c>
      <c r="K55" s="44" t="s">
        <v>31</v>
      </c>
      <c r="L55" s="44" t="s">
        <v>31</v>
      </c>
      <c r="M55" s="44" t="s">
        <v>31</v>
      </c>
      <c r="N55" s="44" t="s">
        <v>31</v>
      </c>
      <c r="O55" s="42"/>
      <c r="P55" s="42"/>
    </row>
    <row r="56" spans="1:16" ht="15.75">
      <c r="A56" s="47" t="s">
        <v>309</v>
      </c>
      <c r="B56" s="42">
        <f>-1.03</f>
        <v>-1.03</v>
      </c>
      <c r="D56" t="s">
        <v>37</v>
      </c>
      <c r="E56" s="46" t="s">
        <v>40</v>
      </c>
      <c r="F56" s="42" t="s">
        <v>1728</v>
      </c>
      <c r="G56" t="s">
        <v>128</v>
      </c>
      <c r="H56" t="s">
        <v>33</v>
      </c>
      <c r="I56" s="42">
        <v>0</v>
      </c>
      <c r="J56" s="44" t="s">
        <v>31</v>
      </c>
      <c r="K56" s="44" t="s">
        <v>31</v>
      </c>
      <c r="L56" s="44" t="s">
        <v>31</v>
      </c>
      <c r="M56" s="44" t="s">
        <v>31</v>
      </c>
      <c r="N56" s="44" t="s">
        <v>31</v>
      </c>
      <c r="O56" s="44" t="s">
        <v>1314</v>
      </c>
    </row>
    <row r="57" spans="1:16" s="56" customFormat="1" ht="15.75">
      <c r="A57" s="53" t="s">
        <v>5</v>
      </c>
      <c r="B57" s="53" t="s">
        <v>1738</v>
      </c>
      <c r="C57" s="53"/>
      <c r="D57" s="54"/>
      <c r="E57" s="55"/>
      <c r="F57" s="55"/>
      <c r="G57" s="55"/>
      <c r="H57" s="55"/>
      <c r="I57" s="55"/>
      <c r="J57" s="55"/>
      <c r="K57" s="55"/>
      <c r="L57" s="55"/>
      <c r="M57" s="55"/>
      <c r="N57" s="55"/>
      <c r="O57" s="55"/>
      <c r="P57" s="55"/>
    </row>
    <row r="58" spans="1:16">
      <c r="A58" s="42" t="s">
        <v>7</v>
      </c>
      <c r="B58" s="42" t="s">
        <v>1730</v>
      </c>
      <c r="C58" s="42"/>
      <c r="D58" s="42"/>
      <c r="E58" s="42"/>
      <c r="F58" s="42"/>
      <c r="G58" s="42"/>
      <c r="H58" s="42"/>
      <c r="I58" s="42"/>
      <c r="J58" s="42"/>
      <c r="K58" s="42"/>
      <c r="L58" s="42"/>
      <c r="M58" s="42"/>
      <c r="N58" s="42"/>
      <c r="O58" s="42"/>
      <c r="P58" s="42"/>
    </row>
    <row r="59" spans="1:16">
      <c r="A59" s="42" t="s">
        <v>9</v>
      </c>
      <c r="B59" s="43" t="s">
        <v>1739</v>
      </c>
      <c r="C59" s="42"/>
      <c r="D59" s="42"/>
      <c r="E59" s="42"/>
      <c r="F59" s="42"/>
      <c r="G59" s="42"/>
      <c r="H59" s="42"/>
      <c r="I59" s="42"/>
      <c r="J59" s="42"/>
      <c r="K59" s="42"/>
      <c r="L59" s="42"/>
      <c r="M59" s="42"/>
      <c r="N59" s="42"/>
      <c r="O59" s="42"/>
      <c r="P59" s="42"/>
    </row>
    <row r="60" spans="1:16">
      <c r="A60" s="42" t="s">
        <v>11</v>
      </c>
      <c r="B60" s="42" t="s">
        <v>1317</v>
      </c>
      <c r="C60" s="42"/>
      <c r="D60" s="42"/>
      <c r="E60" s="42"/>
      <c r="F60" s="42"/>
      <c r="G60" s="42"/>
      <c r="H60" s="42"/>
      <c r="I60" s="42"/>
      <c r="J60" s="42"/>
      <c r="K60" s="42"/>
      <c r="L60" s="42"/>
      <c r="M60" s="42"/>
      <c r="N60" s="42"/>
      <c r="O60" s="42"/>
      <c r="P60" s="42"/>
    </row>
    <row r="61" spans="1:16">
      <c r="A61" s="42" t="s">
        <v>13</v>
      </c>
      <c r="B61" s="42" t="s">
        <v>58</v>
      </c>
      <c r="C61" s="42"/>
      <c r="D61" s="42"/>
      <c r="E61" s="42"/>
      <c r="F61" s="42"/>
      <c r="G61" s="42"/>
      <c r="H61" s="42"/>
      <c r="I61" s="42"/>
      <c r="J61" s="42"/>
      <c r="K61" s="42"/>
      <c r="L61" s="42"/>
      <c r="M61" s="42"/>
      <c r="N61" s="42"/>
      <c r="O61" s="42"/>
      <c r="P61" s="42"/>
    </row>
    <row r="62" spans="1:16">
      <c r="A62" s="42" t="s">
        <v>15</v>
      </c>
      <c r="B62" s="42">
        <v>1</v>
      </c>
      <c r="C62" s="42"/>
      <c r="D62" s="42"/>
      <c r="E62" s="42"/>
      <c r="F62" s="42"/>
      <c r="G62" s="42"/>
      <c r="H62" s="42"/>
      <c r="I62" s="42"/>
      <c r="J62" s="42"/>
      <c r="K62" s="42"/>
      <c r="L62" s="42"/>
      <c r="M62" s="42"/>
      <c r="N62" s="42"/>
      <c r="O62" s="42"/>
      <c r="P62" s="42"/>
    </row>
    <row r="63" spans="1:16">
      <c r="A63" s="42" t="s">
        <v>16</v>
      </c>
      <c r="B63" s="42" t="s">
        <v>17</v>
      </c>
      <c r="C63" s="42"/>
      <c r="D63" s="42"/>
      <c r="E63" s="42"/>
      <c r="F63" s="42"/>
      <c r="G63" s="42"/>
      <c r="H63" s="42"/>
      <c r="I63" s="42"/>
      <c r="J63" s="42"/>
      <c r="K63" s="42"/>
      <c r="L63" s="42"/>
      <c r="M63" s="42"/>
      <c r="N63" s="42"/>
      <c r="O63" s="42"/>
      <c r="P63" s="42"/>
    </row>
    <row r="64" spans="1:16">
      <c r="A64" s="42" t="s">
        <v>18</v>
      </c>
      <c r="B64" s="42" t="s">
        <v>18</v>
      </c>
      <c r="C64" s="42"/>
      <c r="D64" s="42"/>
      <c r="E64" s="42" t="s">
        <v>197</v>
      </c>
      <c r="F64" s="42"/>
      <c r="G64" s="42"/>
      <c r="H64" s="42"/>
      <c r="I64" s="42"/>
      <c r="J64" s="42"/>
      <c r="K64" s="42"/>
      <c r="L64" s="42"/>
      <c r="M64" s="42"/>
      <c r="N64" s="42"/>
      <c r="O64" s="42"/>
      <c r="P64" s="42"/>
    </row>
    <row r="65" spans="1:16" ht="15.75">
      <c r="A65" s="45" t="s">
        <v>19</v>
      </c>
      <c r="B65" s="42"/>
      <c r="C65" s="42"/>
      <c r="D65" s="42"/>
      <c r="E65" s="42"/>
      <c r="F65" s="42"/>
      <c r="G65" s="42"/>
      <c r="H65" s="42"/>
      <c r="I65" s="42"/>
      <c r="J65" s="42"/>
      <c r="K65" s="42"/>
      <c r="L65" s="42"/>
      <c r="M65" s="42"/>
      <c r="N65" s="42"/>
      <c r="O65" s="42"/>
      <c r="P65" s="42"/>
    </row>
    <row r="66" spans="1:16" ht="15.75">
      <c r="A66" s="45" t="s">
        <v>20</v>
      </c>
      <c r="B66" s="45" t="s">
        <v>21</v>
      </c>
      <c r="C66" s="45" t="s">
        <v>198</v>
      </c>
      <c r="D66" s="45" t="s">
        <v>18</v>
      </c>
      <c r="E66" s="45" t="s">
        <v>22</v>
      </c>
      <c r="F66" s="45" t="s">
        <v>7</v>
      </c>
      <c r="G66" s="45" t="s">
        <v>13</v>
      </c>
      <c r="H66" s="45" t="s">
        <v>16</v>
      </c>
      <c r="I66" s="45" t="s">
        <v>23</v>
      </c>
      <c r="J66" s="45" t="s">
        <v>24</v>
      </c>
      <c r="K66" s="45" t="s">
        <v>25</v>
      </c>
      <c r="L66" s="45" t="s">
        <v>26</v>
      </c>
      <c r="M66" s="45" t="s">
        <v>27</v>
      </c>
      <c r="N66" s="45" t="s">
        <v>28</v>
      </c>
      <c r="O66" s="45" t="s">
        <v>11</v>
      </c>
      <c r="P66" s="45" t="s">
        <v>199</v>
      </c>
    </row>
    <row r="67" spans="1:16" ht="15.75">
      <c r="A67" s="44" t="str">
        <f>B57</f>
        <v>treatment of power electronics,Battery charging station, GT-bat, Medium-Term</v>
      </c>
      <c r="B67" s="44">
        <v>1</v>
      </c>
      <c r="C67" s="44"/>
      <c r="D67" s="44" t="s">
        <v>18</v>
      </c>
      <c r="E67" s="42" t="s">
        <v>2</v>
      </c>
      <c r="F67" s="42" t="s">
        <v>1728</v>
      </c>
      <c r="G67" s="44" t="s">
        <v>58</v>
      </c>
      <c r="H67" s="42" t="s">
        <v>30</v>
      </c>
      <c r="I67" s="42">
        <v>0</v>
      </c>
      <c r="J67" s="44" t="s">
        <v>31</v>
      </c>
      <c r="K67" s="44" t="s">
        <v>31</v>
      </c>
      <c r="L67" s="44" t="s">
        <v>31</v>
      </c>
      <c r="M67" s="44" t="s">
        <v>31</v>
      </c>
      <c r="N67" s="44" t="s">
        <v>31</v>
      </c>
      <c r="O67" s="42" t="s">
        <v>1740</v>
      </c>
      <c r="P67" s="42"/>
    </row>
    <row r="68" spans="1:16" ht="15.75">
      <c r="A68" t="str">
        <f>B2</f>
        <v>treatment of circuit components,Battery charging station, GT-bat, Medium-Term</v>
      </c>
      <c r="B68" s="44">
        <v>48</v>
      </c>
      <c r="D68" s="44" t="s">
        <v>18</v>
      </c>
      <c r="E68" s="42" t="s">
        <v>2</v>
      </c>
      <c r="F68" s="42" t="s">
        <v>1728</v>
      </c>
      <c r="G68" s="44" t="s">
        <v>58</v>
      </c>
      <c r="H68" t="s">
        <v>33</v>
      </c>
      <c r="I68" s="42">
        <v>0</v>
      </c>
      <c r="J68" s="44" t="s">
        <v>31</v>
      </c>
      <c r="K68" s="44" t="s">
        <v>31</v>
      </c>
      <c r="L68" s="44" t="s">
        <v>31</v>
      </c>
      <c r="M68" s="44" t="s">
        <v>31</v>
      </c>
      <c r="N68" s="44" t="s">
        <v>31</v>
      </c>
    </row>
    <row r="69" spans="1:16" ht="15.75">
      <c r="A69" t="str">
        <f>B14</f>
        <v>treatment of metals,Battery charging station, GT-bat, Medium-Term</v>
      </c>
      <c r="B69" s="44">
        <v>48</v>
      </c>
      <c r="D69" s="44" t="s">
        <v>18</v>
      </c>
      <c r="E69" s="42" t="s">
        <v>2</v>
      </c>
      <c r="F69" s="42" t="s">
        <v>1728</v>
      </c>
      <c r="G69" s="44" t="s">
        <v>58</v>
      </c>
      <c r="H69" t="s">
        <v>33</v>
      </c>
      <c r="I69" s="42">
        <v>0</v>
      </c>
      <c r="J69" s="44" t="s">
        <v>31</v>
      </c>
      <c r="K69" s="44" t="s">
        <v>31</v>
      </c>
      <c r="L69" s="44" t="s">
        <v>31</v>
      </c>
      <c r="M69" s="44" t="s">
        <v>31</v>
      </c>
      <c r="N69" s="44" t="s">
        <v>31</v>
      </c>
    </row>
    <row r="70" spans="1:16" ht="15.75">
      <c r="A70" t="str">
        <f>B31</f>
        <v>treatment of plastics,Battery charging station, GT-bat, Medium-Term</v>
      </c>
      <c r="B70" s="44">
        <v>48</v>
      </c>
      <c r="D70" s="44" t="s">
        <v>18</v>
      </c>
      <c r="E70" s="42" t="s">
        <v>2</v>
      </c>
      <c r="F70" s="42" t="s">
        <v>1728</v>
      </c>
      <c r="G70" s="44" t="s">
        <v>58</v>
      </c>
      <c r="H70" t="s">
        <v>33</v>
      </c>
      <c r="I70" s="42">
        <v>0</v>
      </c>
      <c r="J70" s="44" t="s">
        <v>31</v>
      </c>
      <c r="K70" s="44" t="s">
        <v>31</v>
      </c>
      <c r="L70" s="44" t="s">
        <v>31</v>
      </c>
      <c r="M70" s="44" t="s">
        <v>31</v>
      </c>
      <c r="N70" s="44" t="s">
        <v>31</v>
      </c>
    </row>
    <row r="71" spans="1:16" ht="15.75">
      <c r="A71" t="str">
        <f>B45</f>
        <v>treatment of remaining material components,Battery charging station, GT-bat, Medium-Term</v>
      </c>
      <c r="B71" s="44">
        <v>48</v>
      </c>
      <c r="D71" s="44" t="s">
        <v>18</v>
      </c>
      <c r="E71" s="42" t="s">
        <v>2</v>
      </c>
      <c r="F71" s="42" t="s">
        <v>1728</v>
      </c>
      <c r="G71" s="44" t="s">
        <v>58</v>
      </c>
      <c r="H71" t="s">
        <v>33</v>
      </c>
      <c r="I71" s="42">
        <v>0</v>
      </c>
      <c r="J71" s="44" t="s">
        <v>31</v>
      </c>
      <c r="K71" s="44" t="s">
        <v>31</v>
      </c>
      <c r="L71" s="44" t="s">
        <v>31</v>
      </c>
      <c r="M71" s="44" t="s">
        <v>31</v>
      </c>
      <c r="N71" s="44" t="s">
        <v>31</v>
      </c>
    </row>
    <row r="72" spans="1:16" ht="15.75">
      <c r="A72" s="47" t="s">
        <v>1318</v>
      </c>
      <c r="B72">
        <f>48*-38.5</f>
        <v>-1848</v>
      </c>
      <c r="D72" s="44" t="s">
        <v>37</v>
      </c>
      <c r="E72" s="42" t="s">
        <v>40</v>
      </c>
      <c r="F72" s="42" t="s">
        <v>1728</v>
      </c>
      <c r="G72" s="44" t="s">
        <v>128</v>
      </c>
      <c r="H72" t="s">
        <v>33</v>
      </c>
      <c r="I72" s="42">
        <v>0</v>
      </c>
      <c r="J72" s="44" t="s">
        <v>31</v>
      </c>
      <c r="K72" s="44" t="s">
        <v>31</v>
      </c>
      <c r="L72" s="44" t="s">
        <v>31</v>
      </c>
      <c r="M72" s="44" t="s">
        <v>31</v>
      </c>
      <c r="N72" s="44" t="s">
        <v>31</v>
      </c>
      <c r="O72" s="44" t="s">
        <v>1319</v>
      </c>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5707A-1EB2-4A9C-BA0C-E3BAECBC8A8A}">
  <dimension ref="A1:Z69"/>
  <sheetViews>
    <sheetView workbookViewId="0">
      <selection activeCell="B13" sqref="B13"/>
    </sheetView>
  </sheetViews>
  <sheetFormatPr defaultRowHeight="15"/>
  <cols>
    <col min="1" max="1" width="80.140625" bestFit="1" customWidth="1"/>
    <col min="5" max="5" width="31.28515625" bestFit="1" customWidth="1"/>
  </cols>
  <sheetData>
    <row r="1" spans="1:16">
      <c r="A1" t="s">
        <v>0</v>
      </c>
      <c r="B1">
        <v>14</v>
      </c>
    </row>
    <row r="2" spans="1:16" s="41" customFormat="1" ht="15.75">
      <c r="A2" s="38" t="s">
        <v>5</v>
      </c>
      <c r="B2" s="38" t="s">
        <v>1741</v>
      </c>
      <c r="C2" s="38"/>
      <c r="D2" s="39"/>
      <c r="E2" s="40"/>
      <c r="F2" s="40"/>
      <c r="G2" s="40"/>
      <c r="H2" s="40"/>
      <c r="I2" s="40"/>
      <c r="J2" s="40"/>
      <c r="K2" s="40"/>
      <c r="L2" s="40"/>
      <c r="M2" s="40"/>
      <c r="N2" s="40"/>
      <c r="O2" s="40"/>
      <c r="P2" s="40"/>
    </row>
    <row r="3" spans="1:16">
      <c r="A3" s="42" t="s">
        <v>7</v>
      </c>
      <c r="B3" s="42" t="s">
        <v>1730</v>
      </c>
      <c r="C3" s="42"/>
      <c r="D3" s="42"/>
      <c r="E3" s="42"/>
      <c r="F3" s="42"/>
      <c r="G3" s="42"/>
      <c r="H3" s="42"/>
      <c r="I3" s="42"/>
      <c r="J3" s="42"/>
      <c r="K3" s="42"/>
      <c r="L3" s="42"/>
      <c r="M3" s="42"/>
      <c r="N3" s="42"/>
      <c r="O3" s="42"/>
      <c r="P3" s="42"/>
    </row>
    <row r="4" spans="1:16">
      <c r="A4" s="42" t="s">
        <v>9</v>
      </c>
      <c r="B4" s="43" t="s">
        <v>1742</v>
      </c>
      <c r="C4" s="42"/>
      <c r="D4" s="42"/>
      <c r="E4" s="42"/>
      <c r="F4" s="42"/>
      <c r="G4" s="42"/>
      <c r="H4" s="42"/>
      <c r="I4" s="42"/>
      <c r="J4" s="42"/>
      <c r="K4" s="42"/>
      <c r="L4" s="42"/>
      <c r="M4" s="42"/>
      <c r="N4" s="42"/>
      <c r="O4" s="42"/>
      <c r="P4" s="42"/>
    </row>
    <row r="5" spans="1:16">
      <c r="A5" s="42" t="s">
        <v>11</v>
      </c>
      <c r="B5" s="42" t="s">
        <v>1299</v>
      </c>
      <c r="C5" s="42"/>
      <c r="D5" s="42"/>
      <c r="E5" s="42"/>
      <c r="F5" s="42"/>
      <c r="G5" s="42"/>
      <c r="H5" s="42"/>
      <c r="I5" s="42"/>
      <c r="J5" s="42"/>
      <c r="K5" s="42"/>
      <c r="L5" s="42"/>
      <c r="M5" s="42"/>
      <c r="N5" s="42"/>
      <c r="O5" s="42"/>
      <c r="P5" s="42"/>
    </row>
    <row r="6" spans="1:16">
      <c r="A6" s="42" t="s">
        <v>13</v>
      </c>
      <c r="B6" s="42" t="s">
        <v>58</v>
      </c>
      <c r="C6" s="42"/>
      <c r="D6" s="42"/>
      <c r="E6" s="42"/>
      <c r="F6" s="42"/>
      <c r="G6" s="42"/>
      <c r="H6" s="42"/>
      <c r="I6" s="42"/>
      <c r="J6" s="42"/>
      <c r="K6" s="42"/>
      <c r="L6" s="42"/>
      <c r="M6" s="42"/>
      <c r="N6" s="42"/>
      <c r="O6" s="42"/>
      <c r="P6" s="42"/>
    </row>
    <row r="7" spans="1:16">
      <c r="A7" s="42" t="s">
        <v>15</v>
      </c>
      <c r="B7" s="42">
        <v>1</v>
      </c>
      <c r="C7" s="42"/>
      <c r="D7" s="42"/>
      <c r="E7" s="42"/>
      <c r="F7" s="42"/>
      <c r="G7" s="42"/>
      <c r="H7" s="42"/>
      <c r="I7" s="42"/>
      <c r="J7" s="42"/>
      <c r="K7" s="42"/>
      <c r="L7" s="42"/>
      <c r="M7" s="42"/>
      <c r="N7" s="42"/>
      <c r="O7" s="42"/>
      <c r="P7" s="42"/>
    </row>
    <row r="8" spans="1:16">
      <c r="A8" s="42" t="s">
        <v>16</v>
      </c>
      <c r="B8" s="42" t="s">
        <v>17</v>
      </c>
      <c r="C8" s="42"/>
      <c r="D8" s="42"/>
      <c r="E8" s="42"/>
      <c r="F8" s="42"/>
      <c r="G8" s="42"/>
      <c r="H8" s="42"/>
      <c r="I8" s="42"/>
      <c r="J8" s="42"/>
      <c r="K8" s="42"/>
      <c r="L8" s="42"/>
      <c r="M8" s="42"/>
      <c r="N8" s="42"/>
      <c r="O8" s="42"/>
      <c r="P8" s="42"/>
    </row>
    <row r="9" spans="1:16">
      <c r="A9" s="42" t="s">
        <v>18</v>
      </c>
      <c r="B9" s="42" t="s">
        <v>18</v>
      </c>
      <c r="C9" s="42"/>
      <c r="D9" s="42"/>
      <c r="E9" s="42" t="s">
        <v>197</v>
      </c>
      <c r="F9" s="42"/>
      <c r="G9" s="42"/>
      <c r="H9" s="42"/>
      <c r="I9" s="42"/>
      <c r="J9" s="42"/>
      <c r="K9" s="42"/>
      <c r="L9" s="42"/>
      <c r="M9" s="42"/>
      <c r="N9" s="42"/>
      <c r="O9" s="42"/>
      <c r="P9" s="42"/>
    </row>
    <row r="10" spans="1:16" ht="15.75">
      <c r="A10" s="45" t="s">
        <v>19</v>
      </c>
      <c r="B10" s="42"/>
      <c r="C10" s="42"/>
      <c r="D10" s="42"/>
      <c r="E10" s="42"/>
      <c r="F10" s="42"/>
      <c r="G10" s="42"/>
      <c r="H10" s="42"/>
      <c r="I10" s="42"/>
      <c r="J10" s="42"/>
      <c r="K10" s="42"/>
      <c r="L10" s="42"/>
      <c r="M10" s="42"/>
      <c r="N10" s="42"/>
      <c r="O10" s="42"/>
      <c r="P10" s="42"/>
    </row>
    <row r="11" spans="1:16" ht="15.75">
      <c r="A11" s="45" t="s">
        <v>20</v>
      </c>
      <c r="B11" s="45" t="s">
        <v>21</v>
      </c>
      <c r="C11" s="45" t="s">
        <v>198</v>
      </c>
      <c r="D11" s="45" t="s">
        <v>18</v>
      </c>
      <c r="E11" s="45" t="s">
        <v>22</v>
      </c>
      <c r="F11" s="45" t="s">
        <v>7</v>
      </c>
      <c r="G11" s="45" t="s">
        <v>13</v>
      </c>
      <c r="H11" s="45" t="s">
        <v>16</v>
      </c>
      <c r="I11" s="45" t="s">
        <v>23</v>
      </c>
      <c r="J11" s="45" t="s">
        <v>24</v>
      </c>
      <c r="K11" s="45" t="s">
        <v>25</v>
      </c>
      <c r="L11" s="45" t="s">
        <v>26</v>
      </c>
      <c r="M11" s="45" t="s">
        <v>27</v>
      </c>
      <c r="N11" s="45" t="s">
        <v>28</v>
      </c>
      <c r="O11" s="45" t="s">
        <v>11</v>
      </c>
      <c r="P11" s="45" t="s">
        <v>199</v>
      </c>
    </row>
    <row r="12" spans="1:16" ht="15.75">
      <c r="A12" s="44" t="str">
        <f>B2</f>
        <v>treatment of alu,Battery charging station, GT-bat, Medium-Term</v>
      </c>
      <c r="B12" s="44">
        <v>1</v>
      </c>
      <c r="C12" s="44"/>
      <c r="D12" s="44" t="s">
        <v>18</v>
      </c>
      <c r="E12" s="42" t="s">
        <v>2</v>
      </c>
      <c r="F12" s="42" t="s">
        <v>1728</v>
      </c>
      <c r="G12" s="44" t="s">
        <v>58</v>
      </c>
      <c r="H12" s="42" t="s">
        <v>30</v>
      </c>
      <c r="I12" s="42">
        <v>0</v>
      </c>
      <c r="J12" s="44" t="s">
        <v>31</v>
      </c>
      <c r="K12" s="44" t="s">
        <v>31</v>
      </c>
      <c r="L12" s="44" t="s">
        <v>31</v>
      </c>
      <c r="M12" s="44" t="s">
        <v>31</v>
      </c>
      <c r="N12" s="44" t="s">
        <v>31</v>
      </c>
      <c r="O12" s="42" t="s">
        <v>1300</v>
      </c>
      <c r="P12" s="42"/>
    </row>
    <row r="13" spans="1:16" ht="15.75">
      <c r="A13" t="s">
        <v>245</v>
      </c>
      <c r="B13" s="23">
        <v>1584.56</v>
      </c>
      <c r="C13" s="44"/>
      <c r="D13" s="44" t="s">
        <v>37</v>
      </c>
      <c r="E13" s="32" t="s">
        <v>40</v>
      </c>
      <c r="F13" s="42" t="s">
        <v>1728</v>
      </c>
      <c r="G13" t="s">
        <v>128</v>
      </c>
      <c r="H13" s="42" t="s">
        <v>33</v>
      </c>
      <c r="I13" s="42">
        <v>0</v>
      </c>
      <c r="J13" s="44" t="s">
        <v>31</v>
      </c>
      <c r="K13" s="44" t="s">
        <v>31</v>
      </c>
      <c r="L13" s="44" t="s">
        <v>31</v>
      </c>
      <c r="M13" s="44" t="s">
        <v>31</v>
      </c>
      <c r="N13" s="44" t="s">
        <v>31</v>
      </c>
      <c r="O13" s="42"/>
      <c r="P13" s="42"/>
    </row>
    <row r="14" spans="1:16" ht="15.75">
      <c r="A14" t="s">
        <v>247</v>
      </c>
      <c r="B14" s="23">
        <v>1584.56</v>
      </c>
      <c r="C14" s="22" t="s">
        <v>248</v>
      </c>
      <c r="D14" t="s">
        <v>37</v>
      </c>
      <c r="E14" s="46" t="s">
        <v>40</v>
      </c>
      <c r="F14" s="42" t="s">
        <v>1728</v>
      </c>
      <c r="G14" t="s">
        <v>128</v>
      </c>
      <c r="H14" s="42" t="s">
        <v>33</v>
      </c>
      <c r="I14" s="42">
        <v>0</v>
      </c>
      <c r="J14" s="44" t="s">
        <v>31</v>
      </c>
      <c r="K14" s="44" t="s">
        <v>31</v>
      </c>
      <c r="L14" s="44" t="s">
        <v>31</v>
      </c>
      <c r="M14" s="44" t="s">
        <v>31</v>
      </c>
      <c r="N14" s="44" t="s">
        <v>31</v>
      </c>
      <c r="O14" t="s">
        <v>378</v>
      </c>
    </row>
    <row r="15" spans="1:16" ht="15.75">
      <c r="A15" t="s">
        <v>329</v>
      </c>
      <c r="B15" s="23">
        <f>B14*0.9</f>
        <v>1426.104</v>
      </c>
      <c r="D15" t="s">
        <v>37</v>
      </c>
      <c r="E15" s="46" t="s">
        <v>40</v>
      </c>
      <c r="F15" s="42" t="s">
        <v>1728</v>
      </c>
      <c r="G15" t="s">
        <v>58</v>
      </c>
      <c r="H15" s="42" t="s">
        <v>243</v>
      </c>
      <c r="I15" s="42">
        <v>0</v>
      </c>
      <c r="J15" s="44" t="s">
        <v>31</v>
      </c>
      <c r="K15" s="44" t="s">
        <v>31</v>
      </c>
      <c r="L15" s="44" t="s">
        <v>31</v>
      </c>
      <c r="M15" s="44" t="s">
        <v>31</v>
      </c>
      <c r="N15" s="44" t="s">
        <v>31</v>
      </c>
      <c r="O15" s="42" t="s">
        <v>1301</v>
      </c>
    </row>
    <row r="16" spans="1:16" ht="16.5" customHeight="1">
      <c r="A16" t="s">
        <v>380</v>
      </c>
      <c r="B16" s="23">
        <f>-0.1*B15+3.28</f>
        <v>-139.3304</v>
      </c>
      <c r="D16" t="s">
        <v>37</v>
      </c>
      <c r="E16" s="47" t="s">
        <v>40</v>
      </c>
      <c r="F16" s="42" t="s">
        <v>1728</v>
      </c>
      <c r="G16" t="s">
        <v>58</v>
      </c>
      <c r="H16" t="s">
        <v>33</v>
      </c>
      <c r="I16">
        <v>0</v>
      </c>
      <c r="J16" t="s">
        <v>31</v>
      </c>
      <c r="K16" t="s">
        <v>31</v>
      </c>
      <c r="L16" t="s">
        <v>31</v>
      </c>
      <c r="M16" t="s">
        <v>31</v>
      </c>
      <c r="N16" t="s">
        <v>31</v>
      </c>
      <c r="O16" s="17" t="s">
        <v>1743</v>
      </c>
    </row>
    <row r="17" spans="1:26" ht="15.75">
      <c r="A17" s="38" t="s">
        <v>5</v>
      </c>
      <c r="B17" s="38" t="str">
        <f>A27</f>
        <v>treatment of steel,Battery charging station, Gt-bat, Medium-Term</v>
      </c>
      <c r="C17" s="38"/>
      <c r="D17" s="39"/>
      <c r="E17" s="40"/>
      <c r="F17" s="40"/>
      <c r="G17" s="40"/>
      <c r="H17" s="40"/>
      <c r="I17" s="40"/>
      <c r="J17" s="40"/>
      <c r="K17" s="40"/>
      <c r="L17" s="40"/>
      <c r="M17" s="40"/>
      <c r="N17" s="40"/>
      <c r="O17" s="40"/>
      <c r="P17" s="40"/>
      <c r="Q17" s="40"/>
      <c r="R17" s="40"/>
      <c r="S17" s="40"/>
      <c r="T17" s="40"/>
      <c r="U17" s="40"/>
      <c r="V17" s="40"/>
      <c r="W17" s="40"/>
      <c r="X17" s="40"/>
      <c r="Y17" s="40"/>
      <c r="Z17" s="40"/>
    </row>
    <row r="18" spans="1:26">
      <c r="A18" s="42" t="s">
        <v>7</v>
      </c>
      <c r="B18" s="42" t="s">
        <v>1744</v>
      </c>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c r="A19" s="42" t="s">
        <v>9</v>
      </c>
      <c r="B19" s="198" t="s">
        <v>1745</v>
      </c>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c r="A20" s="42" t="s">
        <v>11</v>
      </c>
      <c r="B20" s="42" t="s">
        <v>1323</v>
      </c>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c r="A21" s="42" t="s">
        <v>13</v>
      </c>
      <c r="B21" s="42" t="s">
        <v>58</v>
      </c>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c r="A22" s="42" t="s">
        <v>15</v>
      </c>
      <c r="B22" s="42">
        <v>1</v>
      </c>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c r="A23" s="42" t="s">
        <v>16</v>
      </c>
      <c r="B23" s="42" t="s">
        <v>17</v>
      </c>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ht="15.75">
      <c r="A24" s="42" t="s">
        <v>18</v>
      </c>
      <c r="B24" s="44" t="s">
        <v>18</v>
      </c>
      <c r="C24" s="42"/>
      <c r="D24" s="42"/>
      <c r="E24" s="42" t="s">
        <v>197</v>
      </c>
      <c r="F24" s="42"/>
      <c r="G24" s="42"/>
      <c r="H24" s="42"/>
      <c r="I24" s="42"/>
      <c r="J24" s="42"/>
      <c r="K24" s="42"/>
      <c r="L24" s="42"/>
      <c r="M24" s="42"/>
      <c r="N24" s="42"/>
      <c r="O24" s="42"/>
      <c r="P24" s="42"/>
      <c r="Q24" s="42"/>
      <c r="R24" s="42"/>
      <c r="S24" s="42"/>
      <c r="T24" s="42"/>
      <c r="U24" s="42"/>
      <c r="V24" s="42"/>
      <c r="W24" s="42"/>
      <c r="X24" s="42"/>
      <c r="Y24" s="42"/>
      <c r="Z24" s="42"/>
    </row>
    <row r="25" spans="1:26" ht="15.75">
      <c r="A25" s="45" t="s">
        <v>19</v>
      </c>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ht="15.75">
      <c r="A26" s="45" t="s">
        <v>20</v>
      </c>
      <c r="B26" s="45" t="s">
        <v>21</v>
      </c>
      <c r="C26" s="45" t="s">
        <v>198</v>
      </c>
      <c r="D26" s="45" t="s">
        <v>18</v>
      </c>
      <c r="E26" s="45" t="s">
        <v>22</v>
      </c>
      <c r="F26" s="45" t="s">
        <v>7</v>
      </c>
      <c r="G26" s="45" t="s">
        <v>13</v>
      </c>
      <c r="H26" s="45" t="s">
        <v>16</v>
      </c>
      <c r="I26" s="45" t="s">
        <v>23</v>
      </c>
      <c r="J26" s="45" t="s">
        <v>24</v>
      </c>
      <c r="K26" s="45" t="s">
        <v>25</v>
      </c>
      <c r="L26" s="45" t="s">
        <v>26</v>
      </c>
      <c r="M26" s="45" t="s">
        <v>27</v>
      </c>
      <c r="N26" s="45" t="s">
        <v>28</v>
      </c>
      <c r="O26" s="45" t="s">
        <v>11</v>
      </c>
      <c r="P26" s="45" t="s">
        <v>199</v>
      </c>
      <c r="Q26" s="42"/>
      <c r="R26" s="42"/>
      <c r="S26" s="42"/>
      <c r="T26" s="42"/>
      <c r="U26" s="42"/>
      <c r="V26" s="42"/>
      <c r="W26" s="42"/>
      <c r="X26" s="42"/>
      <c r="Y26" s="42"/>
      <c r="Z26" s="42"/>
    </row>
    <row r="27" spans="1:26" ht="15.75">
      <c r="A27" s="44" t="s">
        <v>1746</v>
      </c>
      <c r="B27" s="44">
        <v>1</v>
      </c>
      <c r="C27" s="44"/>
      <c r="D27" s="44" t="s">
        <v>18</v>
      </c>
      <c r="E27" s="42" t="s">
        <v>2</v>
      </c>
      <c r="F27" s="42" t="s">
        <v>1747</v>
      </c>
      <c r="G27" s="44" t="s">
        <v>58</v>
      </c>
      <c r="H27" s="42" t="s">
        <v>30</v>
      </c>
      <c r="I27" s="42">
        <v>0</v>
      </c>
      <c r="J27" s="44" t="s">
        <v>31</v>
      </c>
      <c r="K27" s="44" t="s">
        <v>31</v>
      </c>
      <c r="L27" s="44" t="s">
        <v>31</v>
      </c>
      <c r="M27" s="44" t="s">
        <v>31</v>
      </c>
      <c r="N27" s="44" t="s">
        <v>31</v>
      </c>
      <c r="O27" s="42"/>
      <c r="P27" s="42"/>
      <c r="Q27" s="42"/>
      <c r="R27" s="42"/>
      <c r="S27" s="42"/>
      <c r="T27" s="42"/>
      <c r="U27" s="42"/>
      <c r="V27" s="42"/>
      <c r="W27" s="42"/>
      <c r="X27" s="42"/>
      <c r="Y27" s="42"/>
      <c r="Z27" s="42"/>
    </row>
    <row r="28" spans="1:26" ht="15.75">
      <c r="A28" s="42" t="s">
        <v>240</v>
      </c>
      <c r="B28" s="42">
        <v>-9236.4320000000007</v>
      </c>
      <c r="C28" s="44"/>
      <c r="D28" s="44" t="s">
        <v>37</v>
      </c>
      <c r="E28" s="200" t="s">
        <v>40</v>
      </c>
      <c r="F28" s="42" t="s">
        <v>29</v>
      </c>
      <c r="G28" s="44" t="s">
        <v>128</v>
      </c>
      <c r="H28" s="42" t="s">
        <v>33</v>
      </c>
      <c r="I28" s="42">
        <v>0</v>
      </c>
      <c r="J28" s="44" t="s">
        <v>31</v>
      </c>
      <c r="K28" s="44" t="s">
        <v>31</v>
      </c>
      <c r="L28" s="44" t="s">
        <v>31</v>
      </c>
      <c r="M28" s="44" t="s">
        <v>31</v>
      </c>
      <c r="N28" s="44" t="s">
        <v>31</v>
      </c>
      <c r="O28" s="42"/>
      <c r="P28" s="42" t="s">
        <v>1325</v>
      </c>
      <c r="Q28" s="42"/>
      <c r="R28" s="42" t="s">
        <v>1326</v>
      </c>
      <c r="S28" s="42"/>
      <c r="T28" s="42"/>
      <c r="U28" s="42"/>
      <c r="V28" s="42"/>
      <c r="W28" s="42"/>
      <c r="X28" s="42"/>
      <c r="Y28" s="42"/>
      <c r="Z28" s="42"/>
    </row>
    <row r="29" spans="1:26" ht="15.75">
      <c r="A29" s="42" t="s">
        <v>704</v>
      </c>
      <c r="B29" s="42">
        <f>-B28*0.9</f>
        <v>8312.7888000000003</v>
      </c>
      <c r="C29" s="44"/>
      <c r="D29" s="44" t="s">
        <v>37</v>
      </c>
      <c r="E29" s="200" t="s">
        <v>40</v>
      </c>
      <c r="F29" s="42" t="s">
        <v>29</v>
      </c>
      <c r="G29" s="44" t="s">
        <v>58</v>
      </c>
      <c r="H29" s="42" t="s">
        <v>243</v>
      </c>
      <c r="I29" s="42">
        <v>0</v>
      </c>
      <c r="J29" s="44" t="s">
        <v>31</v>
      </c>
      <c r="K29" s="44" t="s">
        <v>31</v>
      </c>
      <c r="L29" s="44" t="s">
        <v>31</v>
      </c>
      <c r="M29" s="44" t="s">
        <v>31</v>
      </c>
      <c r="N29" s="44" t="s">
        <v>31</v>
      </c>
      <c r="O29" s="42"/>
      <c r="P29" s="42" t="s">
        <v>1301</v>
      </c>
      <c r="Q29" s="42"/>
      <c r="R29" s="42" t="s">
        <v>1326</v>
      </c>
      <c r="S29" s="42"/>
      <c r="T29" s="42"/>
      <c r="U29" s="42"/>
      <c r="V29" s="42"/>
      <c r="W29" s="42"/>
      <c r="X29" s="42"/>
      <c r="Y29" s="42"/>
      <c r="Z29" s="42"/>
    </row>
    <row r="30" spans="1:26" ht="15.75">
      <c r="A30" s="42" t="s">
        <v>380</v>
      </c>
      <c r="B30" s="42">
        <f>B28+B29</f>
        <v>-923.64320000000043</v>
      </c>
      <c r="C30" s="42"/>
      <c r="D30" s="42" t="s">
        <v>37</v>
      </c>
      <c r="E30" s="200" t="s">
        <v>40</v>
      </c>
      <c r="F30" s="42" t="s">
        <v>1747</v>
      </c>
      <c r="G30" s="42" t="s">
        <v>58</v>
      </c>
      <c r="H30" s="42" t="s">
        <v>33</v>
      </c>
      <c r="I30" s="42">
        <v>0</v>
      </c>
      <c r="J30" s="42" t="s">
        <v>31</v>
      </c>
      <c r="K30" s="42" t="s">
        <v>31</v>
      </c>
      <c r="L30" s="42" t="s">
        <v>31</v>
      </c>
      <c r="M30" s="42" t="s">
        <v>31</v>
      </c>
      <c r="N30" s="42" t="s">
        <v>31</v>
      </c>
      <c r="O30" s="44"/>
      <c r="P30" s="42" t="s">
        <v>1327</v>
      </c>
      <c r="Q30" s="42"/>
      <c r="R30" s="42" t="s">
        <v>1326</v>
      </c>
      <c r="S30" s="42"/>
      <c r="T30" s="42"/>
      <c r="U30" s="42"/>
      <c r="V30" s="42"/>
      <c r="W30" s="42"/>
      <c r="X30" s="42"/>
      <c r="Y30" s="42"/>
      <c r="Z30" s="42"/>
    </row>
    <row r="31" spans="1:26" ht="15.75">
      <c r="A31" s="38" t="s">
        <v>5</v>
      </c>
      <c r="B31" s="38" t="str">
        <f>A41</f>
        <v>treatment of ferrite ,Battery charging station, Gt-bat, Medium-Term</v>
      </c>
      <c r="C31" s="38"/>
      <c r="D31" s="39"/>
      <c r="E31" s="40"/>
      <c r="F31" s="40"/>
      <c r="G31" s="40"/>
      <c r="H31" s="40"/>
      <c r="I31" s="40"/>
      <c r="J31" s="40"/>
      <c r="K31" s="40"/>
      <c r="L31" s="40"/>
      <c r="M31" s="40"/>
      <c r="N31" s="40"/>
      <c r="O31" s="40"/>
      <c r="P31" s="40"/>
      <c r="Q31" s="40"/>
      <c r="R31" s="40"/>
      <c r="S31" s="40"/>
      <c r="T31" s="40"/>
      <c r="U31" s="40"/>
      <c r="V31" s="40"/>
      <c r="W31" s="40"/>
      <c r="X31" s="40"/>
      <c r="Y31" s="40"/>
      <c r="Z31" s="40"/>
    </row>
    <row r="32" spans="1:26">
      <c r="A32" s="42" t="s">
        <v>7</v>
      </c>
      <c r="B32" s="42" t="s">
        <v>1744</v>
      </c>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c r="A33" s="42" t="s">
        <v>9</v>
      </c>
      <c r="B33" s="198" t="s">
        <v>1748</v>
      </c>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c r="A34" s="42" t="s">
        <v>11</v>
      </c>
      <c r="B34" s="42" t="s">
        <v>1323</v>
      </c>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c r="A35" s="42" t="s">
        <v>13</v>
      </c>
      <c r="B35" s="42" t="s">
        <v>58</v>
      </c>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c r="A36" s="42" t="s">
        <v>15</v>
      </c>
      <c r="B36" s="42">
        <v>1</v>
      </c>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c r="A37" s="42" t="s">
        <v>16</v>
      </c>
      <c r="B37" s="42" t="s">
        <v>17</v>
      </c>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ht="15.75">
      <c r="A38" s="42" t="s">
        <v>18</v>
      </c>
      <c r="B38" s="44" t="s">
        <v>18</v>
      </c>
      <c r="C38" s="42"/>
      <c r="D38" s="42"/>
      <c r="E38" s="42" t="s">
        <v>197</v>
      </c>
      <c r="F38" s="42"/>
      <c r="G38" s="42"/>
      <c r="H38" s="42"/>
      <c r="I38" s="42"/>
      <c r="J38" s="42"/>
      <c r="K38" s="42"/>
      <c r="L38" s="42"/>
      <c r="M38" s="42"/>
      <c r="N38" s="42"/>
      <c r="O38" s="42"/>
      <c r="P38" s="42"/>
      <c r="Q38" s="42"/>
      <c r="R38" s="42"/>
      <c r="S38" s="42"/>
      <c r="T38" s="42"/>
      <c r="U38" s="42"/>
      <c r="V38" s="42"/>
      <c r="W38" s="42"/>
      <c r="X38" s="42"/>
      <c r="Y38" s="42"/>
      <c r="Z38" s="42"/>
    </row>
    <row r="39" spans="1:26" ht="15.75">
      <c r="A39" s="45" t="s">
        <v>19</v>
      </c>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ht="15.75">
      <c r="A40" s="45" t="s">
        <v>20</v>
      </c>
      <c r="B40" s="45" t="s">
        <v>21</v>
      </c>
      <c r="C40" s="45" t="s">
        <v>198</v>
      </c>
      <c r="D40" s="45" t="s">
        <v>18</v>
      </c>
      <c r="E40" s="45" t="s">
        <v>22</v>
      </c>
      <c r="F40" s="45" t="s">
        <v>7</v>
      </c>
      <c r="G40" s="45" t="s">
        <v>13</v>
      </c>
      <c r="H40" s="45" t="s">
        <v>16</v>
      </c>
      <c r="I40" s="45" t="s">
        <v>23</v>
      </c>
      <c r="J40" s="45" t="s">
        <v>24</v>
      </c>
      <c r="K40" s="45" t="s">
        <v>25</v>
      </c>
      <c r="L40" s="45" t="s">
        <v>26</v>
      </c>
      <c r="M40" s="45" t="s">
        <v>27</v>
      </c>
      <c r="N40" s="45" t="s">
        <v>28</v>
      </c>
      <c r="O40" s="45" t="s">
        <v>11</v>
      </c>
      <c r="P40" s="45" t="s">
        <v>199</v>
      </c>
      <c r="Q40" s="42"/>
      <c r="R40" s="42"/>
      <c r="S40" s="42"/>
      <c r="T40" s="42"/>
      <c r="U40" s="42"/>
      <c r="V40" s="42"/>
      <c r="W40" s="42"/>
      <c r="X40" s="42"/>
      <c r="Y40" s="42"/>
      <c r="Z40" s="42"/>
    </row>
    <row r="41" spans="1:26" ht="15.75">
      <c r="A41" s="44" t="s">
        <v>1749</v>
      </c>
      <c r="B41" s="44">
        <v>1</v>
      </c>
      <c r="C41" s="44"/>
      <c r="D41" s="44" t="s">
        <v>18</v>
      </c>
      <c r="E41" s="42" t="s">
        <v>2</v>
      </c>
      <c r="F41" s="42" t="s">
        <v>29</v>
      </c>
      <c r="G41" s="44" t="s">
        <v>58</v>
      </c>
      <c r="H41" s="42" t="s">
        <v>30</v>
      </c>
      <c r="I41" s="42">
        <v>0</v>
      </c>
      <c r="J41" s="44" t="s">
        <v>31</v>
      </c>
      <c r="K41" s="44" t="s">
        <v>31</v>
      </c>
      <c r="L41" s="44" t="s">
        <v>31</v>
      </c>
      <c r="M41" s="44" t="s">
        <v>31</v>
      </c>
      <c r="N41" s="44" t="s">
        <v>31</v>
      </c>
      <c r="O41" s="42"/>
      <c r="P41" s="42"/>
      <c r="Q41" s="42"/>
      <c r="R41" s="42"/>
      <c r="S41" s="42"/>
      <c r="T41" s="42"/>
      <c r="U41" s="42"/>
      <c r="V41" s="42"/>
      <c r="W41" s="42"/>
      <c r="X41" s="42"/>
      <c r="Y41" s="42"/>
      <c r="Z41" s="42"/>
    </row>
    <row r="42" spans="1:26" ht="15.75">
      <c r="A42" s="47" t="s">
        <v>1750</v>
      </c>
      <c r="B42">
        <v>-36149.760000000002</v>
      </c>
      <c r="C42" s="47"/>
      <c r="D42" s="44" t="s">
        <v>37</v>
      </c>
      <c r="E42" s="200" t="s">
        <v>40</v>
      </c>
      <c r="F42" s="42" t="s">
        <v>29</v>
      </c>
      <c r="G42" s="44" t="s">
        <v>128</v>
      </c>
      <c r="H42" s="42" t="s">
        <v>33</v>
      </c>
      <c r="I42" s="42">
        <v>0</v>
      </c>
      <c r="J42" s="44" t="s">
        <v>31</v>
      </c>
      <c r="K42" s="44" t="s">
        <v>31</v>
      </c>
      <c r="L42" s="44" t="s">
        <v>31</v>
      </c>
      <c r="M42" s="44" t="s">
        <v>31</v>
      </c>
      <c r="N42" s="44" t="s">
        <v>31</v>
      </c>
      <c r="O42" s="42"/>
      <c r="P42" s="42"/>
      <c r="Q42" s="42"/>
      <c r="R42" s="42"/>
      <c r="S42" s="42"/>
      <c r="T42" s="42"/>
      <c r="U42" s="42"/>
      <c r="V42" s="42"/>
      <c r="W42" s="42"/>
      <c r="X42" s="42"/>
      <c r="Y42" s="42"/>
      <c r="Z42" s="42"/>
    </row>
    <row r="43" spans="1:26" ht="15.75">
      <c r="A43" s="201" t="s">
        <v>1751</v>
      </c>
      <c r="B43" s="42">
        <f>B42*0.47</f>
        <v>-16990.387200000001</v>
      </c>
      <c r="C43" s="44"/>
      <c r="D43" s="44" t="s">
        <v>37</v>
      </c>
      <c r="E43" s="200" t="s">
        <v>40</v>
      </c>
      <c r="F43" s="42" t="s">
        <v>29</v>
      </c>
      <c r="G43" s="44" t="s">
        <v>58</v>
      </c>
      <c r="H43" s="42" t="s">
        <v>243</v>
      </c>
      <c r="I43" s="42">
        <v>0</v>
      </c>
      <c r="J43" s="44" t="s">
        <v>31</v>
      </c>
      <c r="K43" s="44" t="s">
        <v>31</v>
      </c>
      <c r="L43" s="44" t="s">
        <v>31</v>
      </c>
      <c r="M43" s="44" t="s">
        <v>31</v>
      </c>
      <c r="N43" s="44" t="s">
        <v>31</v>
      </c>
      <c r="O43" s="42"/>
      <c r="P43" s="42" t="s">
        <v>1752</v>
      </c>
      <c r="Q43" s="42"/>
      <c r="R43" s="42"/>
      <c r="S43" s="42"/>
      <c r="T43" s="42"/>
      <c r="U43" s="42"/>
      <c r="V43" s="42"/>
      <c r="W43" s="42"/>
      <c r="X43" s="42"/>
      <c r="Y43" s="42"/>
      <c r="Z43" s="42"/>
    </row>
    <row r="44" spans="1:26" ht="15.75">
      <c r="A44" s="42" t="s">
        <v>380</v>
      </c>
      <c r="B44" s="42">
        <f>-(B42-B43)</f>
        <v>19159.372800000001</v>
      </c>
      <c r="C44" s="42"/>
      <c r="D44" s="42" t="s">
        <v>37</v>
      </c>
      <c r="E44" s="200" t="s">
        <v>40</v>
      </c>
      <c r="F44" s="42" t="s">
        <v>1747</v>
      </c>
      <c r="G44" s="42" t="s">
        <v>58</v>
      </c>
      <c r="H44" s="42" t="s">
        <v>33</v>
      </c>
      <c r="I44" s="42">
        <v>0</v>
      </c>
      <c r="J44" s="42" t="s">
        <v>31</v>
      </c>
      <c r="K44" s="42" t="s">
        <v>31</v>
      </c>
      <c r="L44" s="42" t="s">
        <v>31</v>
      </c>
      <c r="M44" s="42" t="s">
        <v>31</v>
      </c>
      <c r="N44" s="42" t="s">
        <v>31</v>
      </c>
      <c r="O44" s="44"/>
      <c r="P44" s="42"/>
      <c r="Q44" s="42"/>
      <c r="R44" s="42"/>
      <c r="S44" s="42"/>
      <c r="T44" s="42"/>
      <c r="U44" s="42"/>
      <c r="V44" s="42"/>
      <c r="W44" s="42"/>
      <c r="X44" s="42"/>
      <c r="Y44" s="42"/>
      <c r="Z44" s="42"/>
    </row>
    <row r="45" spans="1:26" ht="15.75">
      <c r="A45" s="38" t="s">
        <v>5</v>
      </c>
      <c r="B45" s="38" t="str">
        <f>A55</f>
        <v>treatment of electronic components and cables ,Battery charging station, Gt-bat, Medium-Term</v>
      </c>
      <c r="C45" s="38"/>
      <c r="D45" s="39"/>
      <c r="E45" s="40"/>
      <c r="F45" s="40"/>
      <c r="G45" s="40"/>
      <c r="H45" s="40"/>
      <c r="I45" s="40"/>
      <c r="J45" s="40"/>
      <c r="K45" s="40"/>
      <c r="L45" s="40"/>
      <c r="M45" s="40"/>
      <c r="N45" s="40"/>
      <c r="O45" s="40"/>
      <c r="P45" s="40"/>
      <c r="Q45" s="40"/>
      <c r="R45" s="40"/>
      <c r="S45" s="40"/>
      <c r="T45" s="40"/>
      <c r="U45" s="40"/>
      <c r="V45" s="40"/>
      <c r="W45" s="40"/>
      <c r="X45" s="40"/>
      <c r="Y45" s="40"/>
      <c r="Z45" s="40"/>
    </row>
    <row r="46" spans="1:26">
      <c r="A46" s="42" t="s">
        <v>7</v>
      </c>
      <c r="B46" s="42" t="s">
        <v>1744</v>
      </c>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c r="A47" s="42" t="s">
        <v>9</v>
      </c>
      <c r="B47" s="198" t="s">
        <v>1753</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c r="A48" s="42" t="s">
        <v>11</v>
      </c>
      <c r="B48" s="42" t="s">
        <v>1323</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c r="A49" s="42" t="s">
        <v>13</v>
      </c>
      <c r="B49" s="42" t="s">
        <v>58</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c r="A50" s="42" t="s">
        <v>15</v>
      </c>
      <c r="B50" s="42">
        <v>1</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c r="A51" s="42" t="s">
        <v>16</v>
      </c>
      <c r="B51" s="42" t="s">
        <v>17</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ht="15.75">
      <c r="A52" s="42" t="s">
        <v>18</v>
      </c>
      <c r="B52" s="44" t="s">
        <v>18</v>
      </c>
      <c r="C52" s="42"/>
      <c r="D52" s="42"/>
      <c r="E52" s="42" t="s">
        <v>197</v>
      </c>
      <c r="F52" s="42"/>
      <c r="G52" s="42"/>
      <c r="H52" s="42"/>
      <c r="I52" s="42"/>
      <c r="J52" s="42"/>
      <c r="K52" s="42"/>
      <c r="L52" s="42"/>
      <c r="M52" s="42"/>
      <c r="N52" s="42"/>
      <c r="O52" s="42"/>
      <c r="P52" s="42"/>
      <c r="Q52" s="42"/>
      <c r="R52" s="42"/>
      <c r="S52" s="42"/>
      <c r="T52" s="42"/>
      <c r="U52" s="42"/>
      <c r="V52" s="42"/>
      <c r="W52" s="42"/>
      <c r="X52" s="42"/>
      <c r="Y52" s="42"/>
      <c r="Z52" s="42"/>
    </row>
    <row r="53" spans="1:26" ht="15.75">
      <c r="A53" s="45" t="s">
        <v>19</v>
      </c>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ht="15.75">
      <c r="A54" s="45" t="s">
        <v>20</v>
      </c>
      <c r="B54" s="45" t="s">
        <v>21</v>
      </c>
      <c r="C54" s="45" t="s">
        <v>198</v>
      </c>
      <c r="D54" s="45" t="s">
        <v>18</v>
      </c>
      <c r="E54" s="45" t="s">
        <v>22</v>
      </c>
      <c r="F54" s="45" t="s">
        <v>7</v>
      </c>
      <c r="G54" s="45" t="s">
        <v>13</v>
      </c>
      <c r="H54" s="45" t="s">
        <v>16</v>
      </c>
      <c r="I54" s="45" t="s">
        <v>23</v>
      </c>
      <c r="J54" s="45" t="s">
        <v>24</v>
      </c>
      <c r="K54" s="45" t="s">
        <v>25</v>
      </c>
      <c r="L54" s="45" t="s">
        <v>26</v>
      </c>
      <c r="M54" s="45" t="s">
        <v>27</v>
      </c>
      <c r="N54" s="45" t="s">
        <v>28</v>
      </c>
      <c r="O54" s="45" t="s">
        <v>11</v>
      </c>
      <c r="P54" s="45" t="s">
        <v>199</v>
      </c>
      <c r="Q54" s="42"/>
      <c r="R54" s="42"/>
      <c r="S54" s="42"/>
      <c r="T54" s="42"/>
      <c r="U54" s="42"/>
      <c r="V54" s="42"/>
      <c r="W54" s="42"/>
      <c r="X54" s="42"/>
      <c r="Y54" s="42"/>
      <c r="Z54" s="42"/>
    </row>
    <row r="55" spans="1:26" ht="15.75">
      <c r="A55" s="44" t="s">
        <v>1754</v>
      </c>
      <c r="B55" s="44">
        <v>1</v>
      </c>
      <c r="C55" s="44"/>
      <c r="D55" s="44" t="s">
        <v>18</v>
      </c>
      <c r="E55" s="42" t="s">
        <v>2</v>
      </c>
      <c r="F55" s="42" t="s">
        <v>29</v>
      </c>
      <c r="G55" s="44" t="s">
        <v>58</v>
      </c>
      <c r="H55" s="42" t="s">
        <v>30</v>
      </c>
      <c r="I55" s="42">
        <v>0</v>
      </c>
      <c r="J55" s="44" t="s">
        <v>31</v>
      </c>
      <c r="K55" s="44" t="s">
        <v>31</v>
      </c>
      <c r="L55" s="44" t="s">
        <v>31</v>
      </c>
      <c r="M55" s="44" t="s">
        <v>31</v>
      </c>
      <c r="N55" s="44" t="s">
        <v>31</v>
      </c>
      <c r="O55" s="42"/>
      <c r="P55" s="42"/>
      <c r="Q55" s="42"/>
      <c r="R55" s="42"/>
      <c r="S55" s="42"/>
      <c r="T55" s="42"/>
      <c r="U55" s="42"/>
      <c r="V55" s="42"/>
      <c r="W55" s="42"/>
      <c r="X55" s="42"/>
      <c r="Y55" s="42"/>
      <c r="Z55" s="42"/>
    </row>
    <row r="56" spans="1:26" ht="15.75">
      <c r="A56" s="42" t="s">
        <v>369</v>
      </c>
      <c r="B56">
        <v>440</v>
      </c>
      <c r="D56" t="s">
        <v>37</v>
      </c>
      <c r="E56" s="200" t="s">
        <v>40</v>
      </c>
      <c r="F56" t="s">
        <v>29</v>
      </c>
      <c r="G56" t="s">
        <v>128</v>
      </c>
      <c r="H56" t="s">
        <v>33</v>
      </c>
      <c r="I56">
        <v>0</v>
      </c>
      <c r="J56" s="44" t="s">
        <v>31</v>
      </c>
      <c r="K56" s="44" t="s">
        <v>31</v>
      </c>
      <c r="L56" s="44" t="s">
        <v>31</v>
      </c>
      <c r="M56" s="44" t="s">
        <v>31</v>
      </c>
      <c r="N56" s="44" t="s">
        <v>31</v>
      </c>
    </row>
    <row r="57" spans="1:26" ht="15.75">
      <c r="A57" s="202" t="s">
        <v>708</v>
      </c>
      <c r="B57">
        <f>29679/2</f>
        <v>14839.5</v>
      </c>
      <c r="D57" t="s">
        <v>37</v>
      </c>
      <c r="E57" s="200" t="s">
        <v>40</v>
      </c>
      <c r="F57" s="42" t="s">
        <v>29</v>
      </c>
      <c r="G57" t="s">
        <v>58</v>
      </c>
      <c r="H57" s="42" t="s">
        <v>243</v>
      </c>
      <c r="I57">
        <v>0</v>
      </c>
      <c r="J57" s="44" t="s">
        <v>31</v>
      </c>
      <c r="K57" s="44" t="s">
        <v>31</v>
      </c>
      <c r="L57" s="44" t="s">
        <v>31</v>
      </c>
      <c r="M57" s="44" t="s">
        <v>31</v>
      </c>
      <c r="N57" s="44" t="s">
        <v>31</v>
      </c>
      <c r="O57" t="s">
        <v>1755</v>
      </c>
    </row>
    <row r="58" spans="1:26" ht="15.75">
      <c r="A58" s="38" t="s">
        <v>5</v>
      </c>
      <c r="B58" s="38" t="str">
        <f>A68</f>
        <v>treatment of remaining components,Battery charging station, GT-bat, Medium-Term</v>
      </c>
      <c r="C58" s="38"/>
      <c r="D58" s="39"/>
      <c r="E58" s="40"/>
      <c r="F58" s="40"/>
      <c r="G58" s="40"/>
      <c r="H58" s="40"/>
      <c r="I58" s="496"/>
      <c r="J58" s="496"/>
      <c r="K58" s="40"/>
      <c r="L58" s="40"/>
      <c r="M58" s="40"/>
      <c r="N58" s="40"/>
      <c r="O58" s="40"/>
      <c r="P58" s="40"/>
      <c r="Q58" s="40"/>
    </row>
    <row r="59" spans="1:26">
      <c r="A59" s="42" t="s">
        <v>7</v>
      </c>
      <c r="B59" s="42" t="s">
        <v>1730</v>
      </c>
      <c r="C59" s="42"/>
      <c r="D59" s="42"/>
      <c r="E59" s="42"/>
      <c r="F59" s="42"/>
      <c r="G59" s="42"/>
      <c r="H59" s="42"/>
      <c r="I59" s="495"/>
      <c r="J59" s="495"/>
      <c r="K59" s="42"/>
      <c r="L59" s="42"/>
      <c r="M59" s="42"/>
      <c r="N59" s="42"/>
      <c r="O59" s="42"/>
      <c r="P59" s="42"/>
      <c r="Q59" s="42"/>
    </row>
    <row r="60" spans="1:26">
      <c r="A60" s="42" t="s">
        <v>9</v>
      </c>
      <c r="B60" s="198" t="s">
        <v>1756</v>
      </c>
      <c r="C60" s="42"/>
      <c r="D60" s="42"/>
      <c r="E60" s="42"/>
      <c r="F60" s="42"/>
      <c r="G60" s="42"/>
      <c r="H60" s="42"/>
      <c r="I60" s="495"/>
      <c r="J60" s="495"/>
      <c r="K60" s="42"/>
      <c r="L60" s="42"/>
      <c r="M60" s="42"/>
      <c r="N60" s="42"/>
      <c r="O60" s="42"/>
      <c r="P60" s="42"/>
      <c r="Q60" s="42"/>
    </row>
    <row r="61" spans="1:26">
      <c r="A61" s="42" t="s">
        <v>11</v>
      </c>
      <c r="B61" s="42" t="s">
        <v>1313</v>
      </c>
      <c r="C61" s="42"/>
      <c r="D61" s="42"/>
      <c r="E61" s="42"/>
      <c r="F61" s="42"/>
      <c r="G61" s="42"/>
      <c r="H61" s="42"/>
      <c r="I61" s="495"/>
      <c r="J61" s="495"/>
      <c r="K61" s="42"/>
      <c r="L61" s="42"/>
      <c r="M61" s="42"/>
      <c r="N61" s="42"/>
      <c r="O61" s="42"/>
      <c r="P61" s="42"/>
      <c r="Q61" s="42"/>
    </row>
    <row r="62" spans="1:26">
      <c r="A62" s="42" t="s">
        <v>13</v>
      </c>
      <c r="B62" s="42" t="s">
        <v>58</v>
      </c>
      <c r="C62" s="42"/>
      <c r="D62" s="42"/>
      <c r="E62" s="42"/>
      <c r="F62" s="42"/>
      <c r="G62" s="42"/>
      <c r="H62" s="42"/>
      <c r="I62" s="495"/>
      <c r="J62" s="495"/>
      <c r="K62" s="42"/>
      <c r="L62" s="42"/>
      <c r="M62" s="42"/>
      <c r="N62" s="42"/>
      <c r="O62" s="42"/>
      <c r="P62" s="42"/>
      <c r="Q62" s="42"/>
    </row>
    <row r="63" spans="1:26">
      <c r="A63" s="42" t="s">
        <v>15</v>
      </c>
      <c r="B63" s="42">
        <v>1</v>
      </c>
      <c r="C63" s="42"/>
      <c r="D63" s="42"/>
      <c r="E63" s="42"/>
      <c r="F63" s="42"/>
      <c r="G63" s="42"/>
      <c r="H63" s="42"/>
      <c r="I63" s="495"/>
      <c r="J63" s="495"/>
      <c r="K63" s="42"/>
      <c r="L63" s="42"/>
      <c r="M63" s="42"/>
      <c r="N63" s="42"/>
      <c r="O63" s="42"/>
      <c r="P63" s="42"/>
      <c r="Q63" s="42"/>
    </row>
    <row r="64" spans="1:26">
      <c r="A64" s="42" t="s">
        <v>16</v>
      </c>
      <c r="B64" s="42" t="s">
        <v>17</v>
      </c>
      <c r="C64" s="42"/>
      <c r="D64" s="42"/>
      <c r="E64" s="42"/>
      <c r="F64" s="42"/>
      <c r="G64" s="42"/>
      <c r="H64" s="42"/>
      <c r="I64" s="495"/>
      <c r="J64" s="495"/>
      <c r="K64" s="42"/>
      <c r="L64" s="42"/>
      <c r="M64" s="42"/>
      <c r="N64" s="42"/>
      <c r="O64" s="42"/>
      <c r="P64" s="42"/>
      <c r="Q64" s="42"/>
    </row>
    <row r="65" spans="1:17">
      <c r="A65" s="42" t="s">
        <v>18</v>
      </c>
      <c r="B65" s="42" t="s">
        <v>18</v>
      </c>
      <c r="C65" s="42"/>
      <c r="D65" s="42"/>
      <c r="E65" s="42" t="s">
        <v>197</v>
      </c>
      <c r="F65" s="42"/>
      <c r="G65" s="42"/>
      <c r="H65" s="42"/>
      <c r="I65" s="495"/>
      <c r="J65" s="495"/>
      <c r="K65" s="42"/>
      <c r="L65" s="42"/>
      <c r="M65" s="42"/>
      <c r="N65" s="42"/>
      <c r="O65" s="42"/>
      <c r="P65" s="42"/>
      <c r="Q65" s="42"/>
    </row>
    <row r="66" spans="1:17" ht="15.75">
      <c r="A66" s="45" t="s">
        <v>19</v>
      </c>
      <c r="B66" s="42"/>
      <c r="C66" s="42"/>
      <c r="D66" s="42"/>
      <c r="E66" s="42"/>
      <c r="F66" s="42"/>
      <c r="G66" s="42"/>
      <c r="H66" s="42"/>
      <c r="I66" s="495"/>
      <c r="J66" s="495"/>
      <c r="K66" s="42"/>
      <c r="L66" s="42"/>
      <c r="M66" s="42"/>
      <c r="N66" s="42"/>
      <c r="O66" s="42"/>
      <c r="P66" s="42"/>
      <c r="Q66" s="42"/>
    </row>
    <row r="67" spans="1:17" ht="15.75">
      <c r="A67" s="45" t="s">
        <v>20</v>
      </c>
      <c r="B67" s="45" t="s">
        <v>21</v>
      </c>
      <c r="C67" s="45" t="s">
        <v>198</v>
      </c>
      <c r="D67" s="45" t="s">
        <v>18</v>
      </c>
      <c r="E67" s="45" t="s">
        <v>22</v>
      </c>
      <c r="F67" s="45" t="s">
        <v>7</v>
      </c>
      <c r="G67" s="45" t="s">
        <v>13</v>
      </c>
      <c r="H67" s="45" t="s">
        <v>16</v>
      </c>
      <c r="I67" s="45" t="s">
        <v>23</v>
      </c>
      <c r="J67" s="45" t="s">
        <v>24</v>
      </c>
      <c r="K67" s="45" t="s">
        <v>25</v>
      </c>
      <c r="L67" s="45" t="s">
        <v>26</v>
      </c>
      <c r="M67" s="45" t="s">
        <v>27</v>
      </c>
      <c r="N67" s="45" t="s">
        <v>28</v>
      </c>
      <c r="O67" s="45" t="s">
        <v>11</v>
      </c>
      <c r="P67" s="45" t="s">
        <v>199</v>
      </c>
      <c r="Q67" s="42"/>
    </row>
    <row r="68" spans="1:17" ht="15.75">
      <c r="A68" s="44" t="s">
        <v>1757</v>
      </c>
      <c r="B68" s="44">
        <v>1</v>
      </c>
      <c r="C68" s="44"/>
      <c r="D68" s="44" t="s">
        <v>18</v>
      </c>
      <c r="E68" s="42" t="s">
        <v>2</v>
      </c>
      <c r="F68" s="42" t="s">
        <v>1728</v>
      </c>
      <c r="G68" s="44" t="s">
        <v>58</v>
      </c>
      <c r="H68" s="42" t="s">
        <v>30</v>
      </c>
      <c r="I68" s="42">
        <v>0</v>
      </c>
      <c r="J68" s="44" t="s">
        <v>31</v>
      </c>
      <c r="K68" s="44" t="s">
        <v>31</v>
      </c>
      <c r="L68" s="44" t="s">
        <v>31</v>
      </c>
      <c r="M68" s="44" t="s">
        <v>31</v>
      </c>
      <c r="N68" s="44" t="s">
        <v>31</v>
      </c>
      <c r="O68" s="42"/>
      <c r="P68" s="42"/>
      <c r="Q68" s="42"/>
    </row>
    <row r="69" spans="1:17" ht="15.75">
      <c r="A69" s="200" t="s">
        <v>309</v>
      </c>
      <c r="B69" s="42">
        <v>-490.41</v>
      </c>
      <c r="C69" s="42"/>
      <c r="D69" s="42" t="s">
        <v>37</v>
      </c>
      <c r="E69" s="62" t="s">
        <v>40</v>
      </c>
      <c r="F69" s="42" t="s">
        <v>1728</v>
      </c>
      <c r="G69" s="42" t="s">
        <v>128</v>
      </c>
      <c r="H69" s="42" t="s">
        <v>33</v>
      </c>
      <c r="I69" s="42">
        <v>0</v>
      </c>
      <c r="J69" s="44" t="s">
        <v>31</v>
      </c>
      <c r="K69" s="44" t="s">
        <v>31</v>
      </c>
      <c r="L69" s="44" t="s">
        <v>31</v>
      </c>
      <c r="M69" s="44" t="s">
        <v>31</v>
      </c>
      <c r="N69" s="44" t="s">
        <v>31</v>
      </c>
      <c r="O69" s="44" t="s">
        <v>1314</v>
      </c>
      <c r="P69" s="42"/>
      <c r="Q69" s="42"/>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CB20-C834-4E72-A812-DC1A282A28C4}">
  <dimension ref="A1:P120"/>
  <sheetViews>
    <sheetView topLeftCell="A102" zoomScale="70" zoomScaleNormal="70" workbookViewId="0">
      <selection activeCell="E110" sqref="E110"/>
    </sheetView>
  </sheetViews>
  <sheetFormatPr defaultColWidth="8.7109375" defaultRowHeight="15"/>
  <cols>
    <col min="1" max="1" width="53.42578125" style="86" customWidth="1"/>
    <col min="2" max="3" width="25.85546875" style="86" customWidth="1"/>
    <col min="4" max="4" width="10.140625" style="86" customWidth="1"/>
    <col min="5" max="5" width="47" style="86" customWidth="1"/>
    <col min="6" max="6" width="11" style="86" customWidth="1"/>
    <col min="7" max="14" width="8.7109375" style="86"/>
    <col min="15" max="15" width="47.85546875" style="86" customWidth="1"/>
    <col min="16" max="16" width="40.140625" style="86" bestFit="1" customWidth="1"/>
    <col min="17" max="16384" width="8.7109375" style="86"/>
  </cols>
  <sheetData>
    <row r="1" spans="1:16">
      <c r="A1" s="86" t="s">
        <v>0</v>
      </c>
      <c r="B1" s="86">
        <v>15</v>
      </c>
      <c r="D1" s="87" t="s">
        <v>277</v>
      </c>
    </row>
    <row r="2" spans="1:16" s="91" customFormat="1" ht="15.75">
      <c r="A2" s="89" t="s">
        <v>5</v>
      </c>
      <c r="B2" s="89" t="s">
        <v>1758</v>
      </c>
      <c r="C2" s="89"/>
      <c r="D2" s="90"/>
    </row>
    <row r="3" spans="1:16">
      <c r="A3" s="86" t="s">
        <v>7</v>
      </c>
      <c r="B3" s="86" t="s">
        <v>1759</v>
      </c>
    </row>
    <row r="4" spans="1:16">
      <c r="A4" s="86" t="s">
        <v>9</v>
      </c>
      <c r="B4" s="86" t="s">
        <v>1760</v>
      </c>
    </row>
    <row r="5" spans="1:16">
      <c r="A5" s="86" t="s">
        <v>11</v>
      </c>
      <c r="B5" s="86" t="s">
        <v>202</v>
      </c>
    </row>
    <row r="6" spans="1:16">
      <c r="A6" s="86" t="s">
        <v>13</v>
      </c>
      <c r="B6" s="86" t="s">
        <v>58</v>
      </c>
    </row>
    <row r="7" spans="1:16">
      <c r="A7" s="86" t="s">
        <v>15</v>
      </c>
      <c r="B7" s="86">
        <v>1</v>
      </c>
    </row>
    <row r="8" spans="1:16">
      <c r="A8" s="86" t="s">
        <v>16</v>
      </c>
      <c r="B8" s="86" t="s">
        <v>17</v>
      </c>
    </row>
    <row r="9" spans="1:16">
      <c r="A9" s="86" t="s">
        <v>18</v>
      </c>
      <c r="B9" s="86" t="s">
        <v>18</v>
      </c>
    </row>
    <row r="10" spans="1:16" ht="15.75">
      <c r="A10" s="88" t="s">
        <v>19</v>
      </c>
    </row>
    <row r="11" spans="1:16" ht="15.75">
      <c r="A11" s="88" t="s">
        <v>20</v>
      </c>
      <c r="B11" s="88" t="s">
        <v>21</v>
      </c>
      <c r="C11" s="88" t="s">
        <v>198</v>
      </c>
      <c r="D11" s="88" t="s">
        <v>18</v>
      </c>
      <c r="E11" s="88" t="s">
        <v>22</v>
      </c>
      <c r="F11" s="88" t="s">
        <v>7</v>
      </c>
      <c r="G11" s="88" t="s">
        <v>13</v>
      </c>
      <c r="H11" s="88" t="s">
        <v>16</v>
      </c>
      <c r="I11" s="88" t="s">
        <v>23</v>
      </c>
      <c r="J11" s="88" t="s">
        <v>24</v>
      </c>
      <c r="K11" s="88" t="s">
        <v>25</v>
      </c>
      <c r="L11" s="88" t="s">
        <v>26</v>
      </c>
      <c r="M11" s="88" t="s">
        <v>27</v>
      </c>
      <c r="N11" s="88" t="s">
        <v>28</v>
      </c>
      <c r="O11" s="88" t="s">
        <v>9</v>
      </c>
      <c r="P11" s="88" t="s">
        <v>11</v>
      </c>
    </row>
    <row r="12" spans="1:16" ht="15.75">
      <c r="A12" s="86" t="str">
        <f>B2</f>
        <v>production of casing</v>
      </c>
      <c r="B12" s="86">
        <f>B7</f>
        <v>1</v>
      </c>
      <c r="D12" s="86" t="str">
        <f>B9</f>
        <v>unit</v>
      </c>
      <c r="E12" s="92" t="s">
        <v>2</v>
      </c>
      <c r="F12" s="86" t="str">
        <f>B3</f>
        <v>airport</v>
      </c>
      <c r="G12" s="86" t="s">
        <v>58</v>
      </c>
      <c r="H12" s="86" t="s">
        <v>30</v>
      </c>
      <c r="I12" s="86">
        <v>0</v>
      </c>
      <c r="J12" s="92" t="s">
        <v>31</v>
      </c>
      <c r="K12" s="92" t="s">
        <v>31</v>
      </c>
      <c r="L12" s="92" t="s">
        <v>31</v>
      </c>
      <c r="M12" s="92" t="s">
        <v>31</v>
      </c>
      <c r="N12" s="92" t="s">
        <v>31</v>
      </c>
      <c r="O12" s="86" t="str">
        <f>B4</f>
        <v>7973BE31C4BF4485AEDFFDAAEC40A2F4</v>
      </c>
      <c r="P12" s="92" t="s">
        <v>1761</v>
      </c>
    </row>
    <row r="13" spans="1:16" ht="15.75">
      <c r="A13" s="86" t="s">
        <v>704</v>
      </c>
      <c r="B13" s="86">
        <v>2494.8229080000001</v>
      </c>
      <c r="D13" s="86" t="s">
        <v>37</v>
      </c>
      <c r="E13" s="93" t="s">
        <v>40</v>
      </c>
      <c r="F13" s="86" t="s">
        <v>29</v>
      </c>
      <c r="G13" s="86" t="s">
        <v>58</v>
      </c>
      <c r="H13" s="86" t="s">
        <v>33</v>
      </c>
      <c r="I13" s="86">
        <v>2</v>
      </c>
      <c r="J13" s="92">
        <f>LN(B13)</f>
        <v>7.8219730269089931</v>
      </c>
      <c r="K13" s="92">
        <v>0.36083237099999999</v>
      </c>
      <c r="L13" s="92" t="s">
        <v>31</v>
      </c>
      <c r="M13" s="92" t="s">
        <v>31</v>
      </c>
      <c r="N13" s="92" t="s">
        <v>31</v>
      </c>
      <c r="O13" s="86" t="s">
        <v>1762</v>
      </c>
      <c r="P13" s="86" t="s">
        <v>1763</v>
      </c>
    </row>
    <row r="14" spans="1:16" s="91" customFormat="1" ht="15.75">
      <c r="A14" s="89" t="s">
        <v>5</v>
      </c>
      <c r="B14" s="89" t="s">
        <v>1764</v>
      </c>
      <c r="C14" s="89"/>
      <c r="D14" s="90" t="s">
        <v>361</v>
      </c>
    </row>
    <row r="15" spans="1:16">
      <c r="A15" s="86" t="s">
        <v>7</v>
      </c>
      <c r="B15" s="86" t="s">
        <v>1759</v>
      </c>
    </row>
    <row r="16" spans="1:16">
      <c r="A16" s="86" t="s">
        <v>9</v>
      </c>
      <c r="B16" s="86" t="s">
        <v>1765</v>
      </c>
    </row>
    <row r="17" spans="1:16">
      <c r="A17" s="86" t="s">
        <v>11</v>
      </c>
      <c r="B17" s="86" t="s">
        <v>202</v>
      </c>
    </row>
    <row r="18" spans="1:16">
      <c r="A18" s="86" t="s">
        <v>13</v>
      </c>
      <c r="B18" s="86" t="s">
        <v>58</v>
      </c>
    </row>
    <row r="19" spans="1:16">
      <c r="A19" s="86" t="s">
        <v>15</v>
      </c>
      <c r="B19" s="86">
        <v>1</v>
      </c>
    </row>
    <row r="20" spans="1:16">
      <c r="A20" s="86" t="s">
        <v>16</v>
      </c>
      <c r="B20" s="86" t="s">
        <v>17</v>
      </c>
    </row>
    <row r="21" spans="1:16">
      <c r="A21" s="86" t="s">
        <v>18</v>
      </c>
      <c r="B21" s="86" t="s">
        <v>18</v>
      </c>
      <c r="E21" s="86" t="s">
        <v>197</v>
      </c>
    </row>
    <row r="22" spans="1:16" ht="15.75">
      <c r="A22" s="88" t="s">
        <v>19</v>
      </c>
    </row>
    <row r="23" spans="1:16" ht="15.75">
      <c r="A23" s="88" t="s">
        <v>20</v>
      </c>
      <c r="B23" s="88" t="s">
        <v>21</v>
      </c>
      <c r="C23" s="88" t="s">
        <v>198</v>
      </c>
      <c r="D23" s="88" t="s">
        <v>18</v>
      </c>
      <c r="E23" s="88" t="s">
        <v>22</v>
      </c>
      <c r="F23" s="88" t="s">
        <v>7</v>
      </c>
      <c r="G23" s="88" t="s">
        <v>13</v>
      </c>
      <c r="H23" s="88" t="s">
        <v>16</v>
      </c>
      <c r="I23" s="88" t="s">
        <v>23</v>
      </c>
      <c r="J23" s="88" t="s">
        <v>24</v>
      </c>
      <c r="K23" s="88" t="s">
        <v>25</v>
      </c>
      <c r="L23" s="88" t="s">
        <v>26</v>
      </c>
      <c r="M23" s="88" t="s">
        <v>27</v>
      </c>
      <c r="N23" s="88" t="s">
        <v>28</v>
      </c>
      <c r="O23" s="88" t="s">
        <v>9</v>
      </c>
      <c r="P23" s="88" t="s">
        <v>11</v>
      </c>
    </row>
    <row r="24" spans="1:16" ht="15.75">
      <c r="A24" s="86" t="str">
        <f>B14</f>
        <v>production of display unit</v>
      </c>
      <c r="B24" s="86">
        <f>B19</f>
        <v>1</v>
      </c>
      <c r="D24" s="86" t="str">
        <f>B21</f>
        <v>unit</v>
      </c>
      <c r="E24" s="92" t="s">
        <v>2</v>
      </c>
      <c r="F24" s="86" t="str">
        <f>B15</f>
        <v>airport</v>
      </c>
      <c r="G24" s="86" t="s">
        <v>58</v>
      </c>
      <c r="H24" s="86" t="s">
        <v>30</v>
      </c>
      <c r="I24" s="86">
        <v>0</v>
      </c>
      <c r="J24" s="92" t="s">
        <v>31</v>
      </c>
      <c r="K24" s="92" t="s">
        <v>31</v>
      </c>
      <c r="L24" s="92" t="s">
        <v>31</v>
      </c>
      <c r="M24" s="92" t="s">
        <v>31</v>
      </c>
      <c r="N24" s="92" t="s">
        <v>31</v>
      </c>
      <c r="O24" s="86" t="str">
        <f>B16</f>
        <v>34291682699047F69508C77059B21350</v>
      </c>
      <c r="P24" s="92" t="s">
        <v>1766</v>
      </c>
    </row>
    <row r="25" spans="1:16" ht="15.75">
      <c r="A25" s="86" t="s">
        <v>1767</v>
      </c>
      <c r="B25" s="86">
        <v>30</v>
      </c>
      <c r="D25" s="86" t="s">
        <v>37</v>
      </c>
      <c r="E25" s="93" t="s">
        <v>2</v>
      </c>
      <c r="F25" s="86" t="s">
        <v>1759</v>
      </c>
      <c r="G25" s="86" t="s">
        <v>58</v>
      </c>
      <c r="H25" s="86" t="s">
        <v>33</v>
      </c>
      <c r="I25" s="86">
        <v>2</v>
      </c>
      <c r="J25" s="92">
        <f>LN(B25)</f>
        <v>3.4011973816621555</v>
      </c>
      <c r="K25" s="92">
        <v>0.36083237099999999</v>
      </c>
      <c r="L25" s="92" t="s">
        <v>31</v>
      </c>
      <c r="M25" s="92" t="s">
        <v>31</v>
      </c>
      <c r="N25" s="92" t="s">
        <v>31</v>
      </c>
      <c r="O25" s="94" t="s">
        <v>1768</v>
      </c>
    </row>
    <row r="26" spans="1:16" ht="15.75">
      <c r="A26" s="86" t="s">
        <v>235</v>
      </c>
      <c r="B26" s="86">
        <v>227.44785999999999</v>
      </c>
      <c r="D26" s="86" t="s">
        <v>37</v>
      </c>
      <c r="E26" s="93" t="s">
        <v>2</v>
      </c>
      <c r="F26" s="86" t="s">
        <v>1759</v>
      </c>
      <c r="G26" s="86" t="s">
        <v>58</v>
      </c>
      <c r="H26" s="86" t="s">
        <v>33</v>
      </c>
      <c r="I26" s="86">
        <v>2</v>
      </c>
      <c r="J26" s="92">
        <f>LN(B26)</f>
        <v>5.4269210253105067</v>
      </c>
      <c r="K26" s="92">
        <v>0.36083237099999999</v>
      </c>
      <c r="L26" s="92" t="s">
        <v>31</v>
      </c>
      <c r="M26" s="92" t="s">
        <v>31</v>
      </c>
      <c r="N26" s="92" t="s">
        <v>31</v>
      </c>
      <c r="O26" s="92" t="s">
        <v>1769</v>
      </c>
    </row>
    <row r="27" spans="1:16" s="91" customFormat="1" ht="15.75">
      <c r="A27" s="89" t="s">
        <v>5</v>
      </c>
      <c r="B27" s="89" t="s">
        <v>1770</v>
      </c>
      <c r="C27" s="89"/>
      <c r="D27" s="90" t="s">
        <v>361</v>
      </c>
    </row>
    <row r="28" spans="1:16">
      <c r="A28" s="86" t="s">
        <v>7</v>
      </c>
      <c r="B28" s="86" t="s">
        <v>1759</v>
      </c>
    </row>
    <row r="29" spans="1:16">
      <c r="A29" s="86" t="s">
        <v>9</v>
      </c>
      <c r="B29" s="86" t="s">
        <v>1771</v>
      </c>
    </row>
    <row r="30" spans="1:16">
      <c r="A30" s="86" t="s">
        <v>11</v>
      </c>
      <c r="B30" s="86" t="s">
        <v>202</v>
      </c>
    </row>
    <row r="31" spans="1:16">
      <c r="A31" s="86" t="s">
        <v>13</v>
      </c>
      <c r="B31" s="86" t="s">
        <v>58</v>
      </c>
    </row>
    <row r="32" spans="1:16">
      <c r="A32" s="86" t="s">
        <v>15</v>
      </c>
      <c r="B32" s="86">
        <v>1</v>
      </c>
    </row>
    <row r="33" spans="1:16">
      <c r="A33" s="86" t="s">
        <v>16</v>
      </c>
      <c r="B33" s="86" t="s">
        <v>17</v>
      </c>
    </row>
    <row r="34" spans="1:16">
      <c r="A34" s="86" t="s">
        <v>18</v>
      </c>
      <c r="B34" s="86" t="s">
        <v>18</v>
      </c>
      <c r="E34" s="86" t="s">
        <v>197</v>
      </c>
    </row>
    <row r="35" spans="1:16" ht="15.75">
      <c r="A35" s="88" t="s">
        <v>19</v>
      </c>
    </row>
    <row r="36" spans="1:16" ht="15.75">
      <c r="A36" s="88" t="s">
        <v>20</v>
      </c>
      <c r="B36" s="88" t="s">
        <v>21</v>
      </c>
      <c r="C36" s="88" t="s">
        <v>198</v>
      </c>
      <c r="D36" s="88" t="s">
        <v>18</v>
      </c>
      <c r="E36" s="88" t="s">
        <v>22</v>
      </c>
      <c r="F36" s="88" t="s">
        <v>7</v>
      </c>
      <c r="G36" s="88" t="s">
        <v>13</v>
      </c>
      <c r="H36" s="88" t="s">
        <v>16</v>
      </c>
      <c r="I36" s="88" t="s">
        <v>23</v>
      </c>
      <c r="J36" s="88" t="s">
        <v>24</v>
      </c>
      <c r="K36" s="88" t="s">
        <v>25</v>
      </c>
      <c r="L36" s="88" t="s">
        <v>26</v>
      </c>
      <c r="M36" s="88" t="s">
        <v>27</v>
      </c>
      <c r="N36" s="88" t="s">
        <v>28</v>
      </c>
      <c r="O36" s="88" t="s">
        <v>9</v>
      </c>
      <c r="P36" s="88" t="s">
        <v>11</v>
      </c>
    </row>
    <row r="37" spans="1:16" ht="15.75">
      <c r="A37" s="86" t="s">
        <v>1770</v>
      </c>
      <c r="B37" s="86">
        <f>B32</f>
        <v>1</v>
      </c>
      <c r="D37" s="86" t="str">
        <f>B34</f>
        <v>unit</v>
      </c>
      <c r="E37" s="92" t="s">
        <v>2</v>
      </c>
      <c r="F37" s="86" t="str">
        <f>B28</f>
        <v>airport</v>
      </c>
      <c r="G37" s="86" t="str">
        <f>B31</f>
        <v>GLO</v>
      </c>
      <c r="H37" s="86" t="s">
        <v>30</v>
      </c>
      <c r="I37" s="86">
        <v>0</v>
      </c>
      <c r="J37" s="92" t="s">
        <v>31</v>
      </c>
      <c r="K37" s="92" t="s">
        <v>31</v>
      </c>
      <c r="L37" s="92" t="s">
        <v>31</v>
      </c>
      <c r="M37" s="92" t="s">
        <v>31</v>
      </c>
      <c r="N37" s="92" t="s">
        <v>31</v>
      </c>
      <c r="O37" s="86" t="str">
        <f>B29</f>
        <v>ECA7B740F26344F0A234B5C1E2F2CD8E</v>
      </c>
      <c r="P37" s="92" t="s">
        <v>1772</v>
      </c>
    </row>
    <row r="38" spans="1:16" ht="15.75">
      <c r="A38" s="86" t="s">
        <v>1773</v>
      </c>
      <c r="B38" s="86">
        <v>0.03</v>
      </c>
      <c r="D38" s="86" t="s">
        <v>37</v>
      </c>
      <c r="E38" s="86" t="s">
        <v>40</v>
      </c>
      <c r="F38" s="86" t="s">
        <v>1759</v>
      </c>
      <c r="G38" s="86" t="s">
        <v>58</v>
      </c>
      <c r="H38" s="86" t="s">
        <v>33</v>
      </c>
      <c r="I38" s="86">
        <v>2</v>
      </c>
      <c r="J38" s="86">
        <f>LN(B38)</f>
        <v>-3.5065578973199818</v>
      </c>
      <c r="K38" s="86">
        <v>0.35860842199999998</v>
      </c>
      <c r="L38" s="92" t="s">
        <v>31</v>
      </c>
      <c r="M38" s="92" t="s">
        <v>31</v>
      </c>
      <c r="N38" s="92" t="s">
        <v>31</v>
      </c>
      <c r="O38" s="94" t="s">
        <v>1774</v>
      </c>
    </row>
    <row r="39" spans="1:16" ht="15.75">
      <c r="A39" s="86" t="s">
        <v>1510</v>
      </c>
      <c r="B39" s="86">
        <v>0.94500000000000006</v>
      </c>
      <c r="D39" s="86" t="s">
        <v>37</v>
      </c>
      <c r="E39" s="86" t="s">
        <v>40</v>
      </c>
      <c r="F39" s="86" t="s">
        <v>1759</v>
      </c>
      <c r="G39" s="86" t="s">
        <v>58</v>
      </c>
      <c r="H39" s="86" t="s">
        <v>33</v>
      </c>
      <c r="I39" s="86">
        <v>2</v>
      </c>
      <c r="J39" s="86">
        <f t="shared" ref="J39:J44" si="0">LN(B39)</f>
        <v>-5.6570351488394233E-2</v>
      </c>
      <c r="K39" s="86">
        <v>0.35860842199999998</v>
      </c>
      <c r="L39" s="92" t="s">
        <v>31</v>
      </c>
      <c r="M39" s="92" t="s">
        <v>31</v>
      </c>
      <c r="N39" s="92" t="s">
        <v>31</v>
      </c>
      <c r="O39" s="94" t="s">
        <v>1775</v>
      </c>
    </row>
    <row r="40" spans="1:16" ht="15.75">
      <c r="A40" s="94" t="s">
        <v>1510</v>
      </c>
      <c r="B40" s="86">
        <v>0.54500000000000004</v>
      </c>
      <c r="D40" s="86" t="s">
        <v>37</v>
      </c>
      <c r="E40" s="86" t="s">
        <v>40</v>
      </c>
      <c r="F40" s="86" t="s">
        <v>1759</v>
      </c>
      <c r="G40" s="86" t="s">
        <v>58</v>
      </c>
      <c r="H40" s="86" t="s">
        <v>33</v>
      </c>
      <c r="I40" s="86">
        <v>2</v>
      </c>
      <c r="J40" s="86">
        <f t="shared" si="0"/>
        <v>-0.60696948431889286</v>
      </c>
      <c r="K40" s="86">
        <v>0.35860842199999998</v>
      </c>
      <c r="L40" s="92" t="s">
        <v>31</v>
      </c>
      <c r="M40" s="92" t="s">
        <v>31</v>
      </c>
      <c r="N40" s="92" t="s">
        <v>31</v>
      </c>
      <c r="O40" s="94" t="s">
        <v>1775</v>
      </c>
    </row>
    <row r="41" spans="1:16" ht="15.75">
      <c r="A41" s="94" t="s">
        <v>1510</v>
      </c>
      <c r="B41" s="86">
        <v>5.2500000000000005E-2</v>
      </c>
      <c r="D41" s="86" t="s">
        <v>37</v>
      </c>
      <c r="E41" s="86" t="s">
        <v>40</v>
      </c>
      <c r="F41" s="86" t="s">
        <v>1759</v>
      </c>
      <c r="G41" s="86" t="s">
        <v>58</v>
      </c>
      <c r="H41" s="86" t="s">
        <v>33</v>
      </c>
      <c r="I41" s="86">
        <v>2</v>
      </c>
      <c r="J41" s="86">
        <f t="shared" si="0"/>
        <v>-2.9469421093845587</v>
      </c>
      <c r="K41" s="86">
        <v>0.35860842199999998</v>
      </c>
      <c r="L41" s="92" t="s">
        <v>31</v>
      </c>
      <c r="M41" s="92" t="s">
        <v>31</v>
      </c>
      <c r="N41" s="92" t="s">
        <v>31</v>
      </c>
      <c r="O41" s="94" t="s">
        <v>1775</v>
      </c>
    </row>
    <row r="42" spans="1:16" ht="15.75">
      <c r="A42" s="42" t="s">
        <v>329</v>
      </c>
      <c r="B42" s="86">
        <v>0.35000000000000003</v>
      </c>
      <c r="D42" s="86" t="s">
        <v>37</v>
      </c>
      <c r="E42" s="86" t="s">
        <v>40</v>
      </c>
      <c r="F42" s="86" t="s">
        <v>1759</v>
      </c>
      <c r="G42" s="86" t="s">
        <v>58</v>
      </c>
      <c r="H42" s="86" t="s">
        <v>33</v>
      </c>
      <c r="I42" s="86">
        <v>2</v>
      </c>
      <c r="J42" s="86">
        <f t="shared" si="0"/>
        <v>-1.0498221244986776</v>
      </c>
      <c r="K42" s="86">
        <v>0.35860842199999998</v>
      </c>
      <c r="L42" s="92" t="s">
        <v>31</v>
      </c>
      <c r="M42" s="92" t="s">
        <v>31</v>
      </c>
      <c r="N42" s="92" t="s">
        <v>31</v>
      </c>
      <c r="O42" s="86" t="s">
        <v>1776</v>
      </c>
    </row>
    <row r="43" spans="1:16" ht="15.75">
      <c r="A43" s="95" t="s">
        <v>682</v>
      </c>
      <c r="B43" s="86">
        <v>0.16500000000000001</v>
      </c>
      <c r="D43" s="86" t="s">
        <v>37</v>
      </c>
      <c r="E43" s="86" t="s">
        <v>40</v>
      </c>
      <c r="F43" s="86" t="s">
        <v>1759</v>
      </c>
      <c r="G43" s="86" t="s">
        <v>58</v>
      </c>
      <c r="H43" s="86" t="s">
        <v>33</v>
      </c>
      <c r="I43" s="86">
        <v>2</v>
      </c>
      <c r="J43" s="86">
        <f t="shared" si="0"/>
        <v>-1.8018098050815563</v>
      </c>
      <c r="K43" s="86">
        <v>0.35860842199999998</v>
      </c>
      <c r="L43" s="92" t="s">
        <v>31</v>
      </c>
      <c r="M43" s="92" t="s">
        <v>31</v>
      </c>
      <c r="N43" s="92" t="s">
        <v>31</v>
      </c>
      <c r="O43" s="94" t="s">
        <v>1777</v>
      </c>
    </row>
    <row r="44" spans="1:16" ht="15.75">
      <c r="A44" s="94" t="s">
        <v>1510</v>
      </c>
      <c r="B44" s="86">
        <v>7.4999999999999997E-2</v>
      </c>
      <c r="D44" s="86" t="s">
        <v>37</v>
      </c>
      <c r="E44" s="86" t="s">
        <v>40</v>
      </c>
      <c r="F44" s="86" t="s">
        <v>1759</v>
      </c>
      <c r="G44" s="86" t="s">
        <v>58</v>
      </c>
      <c r="H44" s="86" t="s">
        <v>33</v>
      </c>
      <c r="I44" s="86">
        <v>2</v>
      </c>
      <c r="J44" s="86">
        <f t="shared" si="0"/>
        <v>-2.5902671654458267</v>
      </c>
      <c r="K44" s="86">
        <v>0.35860842199999998</v>
      </c>
      <c r="L44" s="92" t="s">
        <v>31</v>
      </c>
      <c r="M44" s="92" t="s">
        <v>31</v>
      </c>
      <c r="N44" s="92" t="s">
        <v>31</v>
      </c>
      <c r="O44" s="94" t="s">
        <v>1775</v>
      </c>
    </row>
    <row r="45" spans="1:16" s="91" customFormat="1" ht="15.75">
      <c r="A45" s="89" t="s">
        <v>5</v>
      </c>
      <c r="B45" s="89" t="s">
        <v>1778</v>
      </c>
      <c r="C45" s="89"/>
      <c r="D45" s="90" t="s">
        <v>361</v>
      </c>
    </row>
    <row r="46" spans="1:16">
      <c r="A46" s="86" t="s">
        <v>7</v>
      </c>
      <c r="B46" s="86" t="s">
        <v>1759</v>
      </c>
    </row>
    <row r="47" spans="1:16">
      <c r="A47" s="86" t="s">
        <v>9</v>
      </c>
      <c r="B47" s="86" t="s">
        <v>1779</v>
      </c>
    </row>
    <row r="48" spans="1:16">
      <c r="A48" s="86" t="s">
        <v>11</v>
      </c>
      <c r="B48" s="86" t="s">
        <v>202</v>
      </c>
    </row>
    <row r="49" spans="1:16">
      <c r="A49" s="86" t="s">
        <v>13</v>
      </c>
      <c r="B49" s="86" t="s">
        <v>58</v>
      </c>
    </row>
    <row r="50" spans="1:16">
      <c r="A50" s="86" t="s">
        <v>15</v>
      </c>
      <c r="B50" s="86">
        <v>1</v>
      </c>
    </row>
    <row r="51" spans="1:16">
      <c r="A51" s="86" t="s">
        <v>16</v>
      </c>
      <c r="B51" s="86" t="s">
        <v>17</v>
      </c>
    </row>
    <row r="52" spans="1:16">
      <c r="A52" s="86" t="s">
        <v>18</v>
      </c>
      <c r="B52" s="86" t="s">
        <v>18</v>
      </c>
    </row>
    <row r="53" spans="1:16" ht="15.75">
      <c r="A53" s="88" t="s">
        <v>19</v>
      </c>
    </row>
    <row r="54" spans="1:16" ht="15.75">
      <c r="A54" s="88" t="s">
        <v>20</v>
      </c>
      <c r="B54" s="88" t="s">
        <v>21</v>
      </c>
      <c r="C54" s="88" t="s">
        <v>198</v>
      </c>
      <c r="D54" s="88" t="s">
        <v>18</v>
      </c>
      <c r="E54" s="88" t="s">
        <v>22</v>
      </c>
      <c r="F54" s="88" t="s">
        <v>7</v>
      </c>
      <c r="G54" s="88" t="s">
        <v>13</v>
      </c>
      <c r="H54" s="88" t="s">
        <v>16</v>
      </c>
      <c r="I54" s="88" t="s">
        <v>23</v>
      </c>
      <c r="J54" s="88" t="s">
        <v>24</v>
      </c>
      <c r="K54" s="88" t="s">
        <v>25</v>
      </c>
      <c r="L54" s="88" t="s">
        <v>26</v>
      </c>
      <c r="M54" s="88" t="s">
        <v>27</v>
      </c>
      <c r="N54" s="88" t="s">
        <v>28</v>
      </c>
      <c r="O54" s="88" t="s">
        <v>9</v>
      </c>
      <c r="P54" s="88" t="s">
        <v>11</v>
      </c>
    </row>
    <row r="55" spans="1:16" ht="15.75">
      <c r="A55" s="86" t="str">
        <f>B45</f>
        <v>production of transformer</v>
      </c>
      <c r="B55" s="86">
        <f>B50</f>
        <v>1</v>
      </c>
      <c r="D55" s="86" t="str">
        <f>B52</f>
        <v>unit</v>
      </c>
      <c r="E55" s="92" t="s">
        <v>2</v>
      </c>
      <c r="F55" s="86" t="str">
        <f>B46</f>
        <v>airport</v>
      </c>
      <c r="G55" s="86" t="str">
        <f>B49</f>
        <v>GLO</v>
      </c>
      <c r="H55" s="86" t="s">
        <v>30</v>
      </c>
      <c r="I55" s="86">
        <v>0</v>
      </c>
      <c r="J55" s="92" t="s">
        <v>31</v>
      </c>
      <c r="K55" s="92" t="s">
        <v>31</v>
      </c>
      <c r="L55" s="92" t="s">
        <v>31</v>
      </c>
      <c r="M55" s="92" t="s">
        <v>31</v>
      </c>
      <c r="N55" s="92" t="s">
        <v>31</v>
      </c>
      <c r="O55" s="86" t="str">
        <f>B47</f>
        <v>A838D77AFB304C2382F68188BB083898</v>
      </c>
      <c r="P55" s="92" t="s">
        <v>1780</v>
      </c>
    </row>
    <row r="56" spans="1:16" ht="15.75">
      <c r="A56" s="96" t="s">
        <v>1751</v>
      </c>
      <c r="B56" s="86">
        <v>1512.75</v>
      </c>
      <c r="D56" s="86" t="s">
        <v>37</v>
      </c>
      <c r="E56" s="86" t="s">
        <v>40</v>
      </c>
      <c r="F56" s="86" t="s">
        <v>1759</v>
      </c>
      <c r="G56" s="86" t="s">
        <v>58</v>
      </c>
      <c r="H56" s="86" t="s">
        <v>33</v>
      </c>
      <c r="I56" s="86">
        <v>2</v>
      </c>
      <c r="J56" s="86">
        <f>LN(B56)</f>
        <v>7.3216844655024307</v>
      </c>
      <c r="K56" s="86">
        <v>0.35860842199999998</v>
      </c>
      <c r="L56" s="92" t="s">
        <v>31</v>
      </c>
      <c r="M56" s="92" t="s">
        <v>31</v>
      </c>
      <c r="N56" s="92" t="s">
        <v>31</v>
      </c>
      <c r="O56" s="94" t="s">
        <v>1781</v>
      </c>
      <c r="P56" s="86" t="s">
        <v>1782</v>
      </c>
    </row>
    <row r="57" spans="1:16" ht="15.75">
      <c r="A57" s="96" t="s">
        <v>1542</v>
      </c>
      <c r="B57" s="86">
        <v>9.5</v>
      </c>
      <c r="D57" s="86" t="s">
        <v>37</v>
      </c>
      <c r="E57" s="86" t="s">
        <v>40</v>
      </c>
      <c r="F57" s="86" t="s">
        <v>1759</v>
      </c>
      <c r="G57" s="86" t="s">
        <v>128</v>
      </c>
      <c r="H57" s="86" t="s">
        <v>33</v>
      </c>
      <c r="I57" s="86">
        <v>2</v>
      </c>
      <c r="J57" s="86">
        <f>LN(B57)</f>
        <v>2.2512917986064953</v>
      </c>
      <c r="K57" s="86">
        <v>0.35860842199999998</v>
      </c>
      <c r="L57" s="92" t="s">
        <v>31</v>
      </c>
      <c r="M57" s="92" t="s">
        <v>31</v>
      </c>
      <c r="N57" s="92" t="s">
        <v>31</v>
      </c>
      <c r="O57" s="94" t="s">
        <v>1783</v>
      </c>
      <c r="P57" s="86" t="s">
        <v>1784</v>
      </c>
    </row>
    <row r="58" spans="1:16" ht="15.75">
      <c r="A58" s="95" t="s">
        <v>708</v>
      </c>
      <c r="B58" s="86">
        <v>1250.45</v>
      </c>
      <c r="D58" s="86" t="s">
        <v>37</v>
      </c>
      <c r="E58" s="86" t="s">
        <v>40</v>
      </c>
      <c r="F58" s="86" t="s">
        <v>1759</v>
      </c>
      <c r="G58" s="86" t="s">
        <v>58</v>
      </c>
      <c r="H58" s="86" t="s">
        <v>33</v>
      </c>
      <c r="I58" s="86">
        <v>2</v>
      </c>
      <c r="J58" s="86">
        <f>LN(B58)</f>
        <v>7.1312587655118946</v>
      </c>
      <c r="K58" s="86">
        <v>0.35860842199999998</v>
      </c>
      <c r="L58" s="92" t="s">
        <v>31</v>
      </c>
      <c r="M58" s="92" t="s">
        <v>31</v>
      </c>
      <c r="N58" s="92" t="s">
        <v>31</v>
      </c>
      <c r="O58" s="94" t="s">
        <v>1785</v>
      </c>
      <c r="P58" s="86" t="s">
        <v>1786</v>
      </c>
    </row>
    <row r="59" spans="1:16" ht="15.75">
      <c r="A59" s="97" t="s">
        <v>1542</v>
      </c>
      <c r="B59" s="86">
        <v>7.8579999999999997</v>
      </c>
      <c r="D59" s="86" t="s">
        <v>37</v>
      </c>
      <c r="E59" s="86" t="s">
        <v>40</v>
      </c>
      <c r="F59" s="86" t="s">
        <v>1759</v>
      </c>
      <c r="G59" s="86" t="s">
        <v>128</v>
      </c>
      <c r="H59" s="86" t="s">
        <v>33</v>
      </c>
      <c r="I59" s="86">
        <v>2</v>
      </c>
      <c r="J59" s="86">
        <f>LN(B59)</f>
        <v>2.0615321211362678</v>
      </c>
      <c r="K59" s="86">
        <v>0.35860842199999998</v>
      </c>
      <c r="L59" s="92" t="s">
        <v>31</v>
      </c>
      <c r="M59" s="92" t="s">
        <v>31</v>
      </c>
      <c r="N59" s="92" t="s">
        <v>31</v>
      </c>
      <c r="O59" s="94" t="s">
        <v>1783</v>
      </c>
      <c r="P59" s="86" t="s">
        <v>1787</v>
      </c>
    </row>
    <row r="60" spans="1:16" s="91" customFormat="1" ht="15.75">
      <c r="A60" s="89" t="s">
        <v>5</v>
      </c>
      <c r="B60" s="89" t="s">
        <v>1788</v>
      </c>
      <c r="C60" s="89"/>
      <c r="D60" s="90" t="s">
        <v>361</v>
      </c>
    </row>
    <row r="61" spans="1:16">
      <c r="A61" s="86" t="s">
        <v>7</v>
      </c>
      <c r="B61" s="86" t="s">
        <v>1759</v>
      </c>
    </row>
    <row r="62" spans="1:16">
      <c r="A62" s="86" t="s">
        <v>9</v>
      </c>
      <c r="B62" s="86" t="s">
        <v>1789</v>
      </c>
    </row>
    <row r="63" spans="1:16">
      <c r="A63" s="86" t="s">
        <v>11</v>
      </c>
      <c r="B63" s="86" t="s">
        <v>202</v>
      </c>
    </row>
    <row r="64" spans="1:16">
      <c r="A64" s="86" t="s">
        <v>13</v>
      </c>
      <c r="B64" s="86" t="s">
        <v>58</v>
      </c>
    </row>
    <row r="65" spans="1:16">
      <c r="A65" s="86" t="s">
        <v>15</v>
      </c>
      <c r="B65" s="86">
        <v>1</v>
      </c>
    </row>
    <row r="66" spans="1:16">
      <c r="A66" s="86" t="s">
        <v>16</v>
      </c>
      <c r="B66" s="86" t="s">
        <v>17</v>
      </c>
    </row>
    <row r="67" spans="1:16">
      <c r="A67" s="86" t="s">
        <v>18</v>
      </c>
      <c r="B67" s="86" t="s">
        <v>18</v>
      </c>
    </row>
    <row r="68" spans="1:16" ht="15.75">
      <c r="A68" s="88" t="s">
        <v>19</v>
      </c>
    </row>
    <row r="69" spans="1:16" ht="15.75">
      <c r="A69" s="88" t="s">
        <v>20</v>
      </c>
      <c r="B69" s="88" t="s">
        <v>21</v>
      </c>
      <c r="C69" s="88" t="s">
        <v>198</v>
      </c>
      <c r="D69" s="88" t="s">
        <v>18</v>
      </c>
      <c r="E69" s="88" t="s">
        <v>22</v>
      </c>
      <c r="F69" s="88" t="s">
        <v>7</v>
      </c>
      <c r="G69" s="88" t="s">
        <v>13</v>
      </c>
      <c r="H69" s="88" t="s">
        <v>16</v>
      </c>
      <c r="I69" s="88" t="s">
        <v>23</v>
      </c>
      <c r="J69" s="88" t="s">
        <v>24</v>
      </c>
      <c r="K69" s="88" t="s">
        <v>25</v>
      </c>
      <c r="L69" s="88" t="s">
        <v>26</v>
      </c>
      <c r="M69" s="88" t="s">
        <v>27</v>
      </c>
      <c r="N69" s="88" t="s">
        <v>28</v>
      </c>
      <c r="O69" s="88" t="s">
        <v>9</v>
      </c>
      <c r="P69" s="88" t="s">
        <v>11</v>
      </c>
    </row>
    <row r="70" spans="1:16" ht="15.75">
      <c r="A70" s="86" t="str">
        <f>B60</f>
        <v>production of charging cable</v>
      </c>
      <c r="B70" s="86">
        <f>B65</f>
        <v>1</v>
      </c>
      <c r="D70" s="86" t="str">
        <f>B67</f>
        <v>unit</v>
      </c>
      <c r="E70" s="92" t="s">
        <v>2</v>
      </c>
      <c r="F70" s="86" t="str">
        <f>B61</f>
        <v>airport</v>
      </c>
      <c r="G70" s="86" t="str">
        <f>B64</f>
        <v>GLO</v>
      </c>
      <c r="H70" s="86" t="s">
        <v>30</v>
      </c>
      <c r="I70" s="86">
        <v>0</v>
      </c>
      <c r="J70" s="92" t="s">
        <v>31</v>
      </c>
      <c r="K70" s="92" t="s">
        <v>31</v>
      </c>
      <c r="L70" s="92" t="s">
        <v>31</v>
      </c>
      <c r="M70" s="92" t="s">
        <v>31</v>
      </c>
      <c r="N70" s="92" t="s">
        <v>31</v>
      </c>
      <c r="O70" s="86" t="str">
        <f>B62</f>
        <v>D62B3CC5360949A3AD8278945B4E7494</v>
      </c>
      <c r="P70" s="92" t="s">
        <v>1790</v>
      </c>
    </row>
    <row r="71" spans="1:16" ht="15.75">
      <c r="A71" s="96" t="s">
        <v>682</v>
      </c>
      <c r="B71" s="86">
        <v>0.8</v>
      </c>
      <c r="D71" s="86" t="s">
        <v>37</v>
      </c>
      <c r="E71" s="86" t="s">
        <v>40</v>
      </c>
      <c r="F71" s="86" t="s">
        <v>1759</v>
      </c>
      <c r="G71" s="86" t="s">
        <v>58</v>
      </c>
      <c r="H71" s="86" t="s">
        <v>33</v>
      </c>
      <c r="I71" s="86">
        <v>2</v>
      </c>
      <c r="J71" s="86">
        <f>LN(B71)</f>
        <v>-0.22314355131420971</v>
      </c>
      <c r="K71" s="86">
        <v>0.35860842199999998</v>
      </c>
      <c r="L71" s="92" t="s">
        <v>31</v>
      </c>
      <c r="M71" s="92" t="s">
        <v>31</v>
      </c>
      <c r="N71" s="92" t="s">
        <v>31</v>
      </c>
      <c r="O71" s="94" t="s">
        <v>1791</v>
      </c>
    </row>
    <row r="72" spans="1:16" ht="15.75">
      <c r="A72" s="86" t="s">
        <v>1639</v>
      </c>
      <c r="B72" s="86">
        <v>2.0499999999999998</v>
      </c>
      <c r="D72" s="86" t="s">
        <v>37</v>
      </c>
      <c r="E72" s="86" t="s">
        <v>40</v>
      </c>
      <c r="F72" s="86" t="s">
        <v>1759</v>
      </c>
      <c r="G72" s="86" t="s">
        <v>128</v>
      </c>
      <c r="H72" s="86" t="s">
        <v>33</v>
      </c>
      <c r="I72" s="86">
        <v>2</v>
      </c>
      <c r="J72" s="86">
        <f>LN(B72)</f>
        <v>0.71783979315031676</v>
      </c>
      <c r="K72" s="86">
        <v>0.35860842199999998</v>
      </c>
      <c r="L72" s="92" t="s">
        <v>31</v>
      </c>
      <c r="M72" s="92" t="s">
        <v>31</v>
      </c>
      <c r="N72" s="92" t="s">
        <v>31</v>
      </c>
      <c r="O72" s="94" t="s">
        <v>1792</v>
      </c>
    </row>
    <row r="73" spans="1:16" ht="15.75">
      <c r="A73" s="98" t="s">
        <v>708</v>
      </c>
      <c r="B73" s="86">
        <v>36.153930729999999</v>
      </c>
      <c r="D73" s="86" t="s">
        <v>37</v>
      </c>
      <c r="E73" s="86" t="s">
        <v>40</v>
      </c>
      <c r="F73" s="86" t="s">
        <v>1759</v>
      </c>
      <c r="G73" s="86" t="s">
        <v>58</v>
      </c>
      <c r="H73" s="86" t="s">
        <v>33</v>
      </c>
      <c r="I73" s="86">
        <v>2</v>
      </c>
      <c r="J73" s="86">
        <f>LN(B73)</f>
        <v>3.5877856765802569</v>
      </c>
      <c r="K73" s="86">
        <v>0.35860842199999998</v>
      </c>
      <c r="L73" s="92" t="s">
        <v>31</v>
      </c>
      <c r="M73" s="92" t="s">
        <v>31</v>
      </c>
      <c r="N73" s="92" t="s">
        <v>31</v>
      </c>
      <c r="O73" s="94" t="s">
        <v>1785</v>
      </c>
      <c r="P73" s="86" t="s">
        <v>1793</v>
      </c>
    </row>
    <row r="74" spans="1:16" ht="15.75">
      <c r="A74" s="95" t="s">
        <v>1556</v>
      </c>
      <c r="B74" s="86">
        <v>32.5013468</v>
      </c>
      <c r="D74" s="86" t="s">
        <v>37</v>
      </c>
      <c r="E74" s="86" t="s">
        <v>40</v>
      </c>
      <c r="F74" s="86" t="s">
        <v>1759</v>
      </c>
      <c r="G74" s="86" t="s">
        <v>58</v>
      </c>
      <c r="H74" s="86" t="s">
        <v>33</v>
      </c>
      <c r="I74" s="86">
        <v>2</v>
      </c>
      <c r="J74" s="86">
        <f>LN(B74)</f>
        <v>3.4812815284770786</v>
      </c>
      <c r="K74" s="86">
        <v>0.35860842199999998</v>
      </c>
      <c r="L74" s="92" t="s">
        <v>31</v>
      </c>
      <c r="M74" s="92" t="s">
        <v>31</v>
      </c>
      <c r="N74" s="92" t="s">
        <v>31</v>
      </c>
      <c r="O74" s="94" t="s">
        <v>1794</v>
      </c>
    </row>
    <row r="75" spans="1:16" ht="15.75">
      <c r="A75" s="95" t="s">
        <v>348</v>
      </c>
      <c r="B75" s="86">
        <v>14.116389270000001</v>
      </c>
      <c r="D75" s="86" t="s">
        <v>37</v>
      </c>
      <c r="E75" s="86" t="s">
        <v>40</v>
      </c>
      <c r="F75" s="86" t="s">
        <v>1759</v>
      </c>
      <c r="G75" s="86" t="s">
        <v>58</v>
      </c>
      <c r="H75" s="86" t="s">
        <v>33</v>
      </c>
      <c r="I75" s="86">
        <v>2</v>
      </c>
      <c r="J75" s="86">
        <f>LN(B75)</f>
        <v>2.6473364819417249</v>
      </c>
      <c r="K75" s="86">
        <v>0.35860842199999998</v>
      </c>
      <c r="L75" s="92" t="s">
        <v>31</v>
      </c>
      <c r="M75" s="92" t="s">
        <v>31</v>
      </c>
      <c r="N75" s="92" t="s">
        <v>31</v>
      </c>
      <c r="O75" s="94" t="s">
        <v>1795</v>
      </c>
      <c r="P75" s="86" t="s">
        <v>1796</v>
      </c>
    </row>
    <row r="76" spans="1:16" s="91" customFormat="1" ht="15.75">
      <c r="A76" s="89" t="s">
        <v>5</v>
      </c>
      <c r="B76" s="89" t="s">
        <v>1797</v>
      </c>
      <c r="C76" s="89"/>
      <c r="D76" s="90" t="s">
        <v>361</v>
      </c>
    </row>
    <row r="77" spans="1:16">
      <c r="A77" s="86" t="s">
        <v>7</v>
      </c>
      <c r="B77" s="86" t="s">
        <v>1759</v>
      </c>
    </row>
    <row r="78" spans="1:16">
      <c r="A78" s="86" t="s">
        <v>9</v>
      </c>
      <c r="B78" s="86" t="s">
        <v>1798</v>
      </c>
    </row>
    <row r="79" spans="1:16">
      <c r="A79" s="86" t="s">
        <v>11</v>
      </c>
      <c r="B79" s="86" t="s">
        <v>202</v>
      </c>
    </row>
    <row r="80" spans="1:16">
      <c r="A80" s="86" t="s">
        <v>13</v>
      </c>
      <c r="B80" s="86" t="s">
        <v>58</v>
      </c>
    </row>
    <row r="81" spans="1:16">
      <c r="A81" s="86" t="s">
        <v>15</v>
      </c>
      <c r="B81" s="86">
        <v>1</v>
      </c>
    </row>
    <row r="82" spans="1:16">
      <c r="A82" s="86" t="s">
        <v>16</v>
      </c>
      <c r="B82" s="86" t="s">
        <v>17</v>
      </c>
    </row>
    <row r="83" spans="1:16">
      <c r="A83" s="86" t="s">
        <v>18</v>
      </c>
      <c r="B83" s="86" t="s">
        <v>18</v>
      </c>
    </row>
    <row r="84" spans="1:16" ht="15.75">
      <c r="A84" s="88" t="s">
        <v>19</v>
      </c>
    </row>
    <row r="85" spans="1:16" ht="15.75">
      <c r="A85" s="88" t="s">
        <v>20</v>
      </c>
      <c r="B85" s="88" t="s">
        <v>21</v>
      </c>
      <c r="C85" s="88" t="s">
        <v>198</v>
      </c>
      <c r="D85" s="88" t="s">
        <v>18</v>
      </c>
      <c r="E85" s="88" t="s">
        <v>22</v>
      </c>
      <c r="F85" s="88" t="s">
        <v>7</v>
      </c>
      <c r="G85" s="88" t="s">
        <v>13</v>
      </c>
      <c r="H85" s="88" t="s">
        <v>16</v>
      </c>
      <c r="I85" s="88" t="s">
        <v>23</v>
      </c>
      <c r="J85" s="88" t="s">
        <v>24</v>
      </c>
      <c r="K85" s="88" t="s">
        <v>25</v>
      </c>
      <c r="L85" s="88" t="s">
        <v>26</v>
      </c>
      <c r="M85" s="88" t="s">
        <v>27</v>
      </c>
      <c r="N85" s="88" t="s">
        <v>28</v>
      </c>
      <c r="O85" s="88" t="s">
        <v>9</v>
      </c>
      <c r="P85" s="88" t="s">
        <v>11</v>
      </c>
    </row>
    <row r="86" spans="1:16" ht="15.75">
      <c r="A86" s="86" t="str">
        <f>B76</f>
        <v>produciton of control cabinet, fuses, signal cables</v>
      </c>
      <c r="B86" s="86">
        <f>B81</f>
        <v>1</v>
      </c>
      <c r="D86" s="86" t="str">
        <f>B83</f>
        <v>unit</v>
      </c>
      <c r="E86" s="92" t="s">
        <v>2</v>
      </c>
      <c r="F86" s="86" t="str">
        <f>B77</f>
        <v>airport</v>
      </c>
      <c r="G86" s="86" t="str">
        <f>B80</f>
        <v>GLO</v>
      </c>
      <c r="H86" s="86" t="s">
        <v>30</v>
      </c>
      <c r="I86" s="86">
        <v>0</v>
      </c>
      <c r="J86" s="92" t="s">
        <v>31</v>
      </c>
      <c r="K86" s="92" t="s">
        <v>31</v>
      </c>
      <c r="L86" s="92" t="s">
        <v>31</v>
      </c>
      <c r="M86" s="92" t="s">
        <v>31</v>
      </c>
      <c r="N86" s="92" t="s">
        <v>31</v>
      </c>
      <c r="O86" s="86" t="str">
        <f>B78</f>
        <v>3694FE4A1D7A44618FD5A5A7AE3F2355</v>
      </c>
      <c r="P86" s="92" t="s">
        <v>1799</v>
      </c>
    </row>
    <row r="87" spans="1:16" ht="15.75">
      <c r="A87" s="86" t="s">
        <v>1800</v>
      </c>
      <c r="B87" s="86">
        <v>20</v>
      </c>
      <c r="D87" s="86" t="s">
        <v>37</v>
      </c>
      <c r="E87" s="86" t="s">
        <v>40</v>
      </c>
      <c r="F87" s="86" t="s">
        <v>1759</v>
      </c>
      <c r="G87" s="86" t="s">
        <v>58</v>
      </c>
      <c r="H87" s="86" t="s">
        <v>33</v>
      </c>
      <c r="I87" s="86">
        <v>2</v>
      </c>
      <c r="J87" s="86">
        <f>LN(B87)</f>
        <v>2.9957322735539909</v>
      </c>
      <c r="K87" s="86">
        <v>0.35860842199999998</v>
      </c>
      <c r="L87" s="92" t="s">
        <v>31</v>
      </c>
      <c r="M87" s="92" t="s">
        <v>31</v>
      </c>
      <c r="N87" s="92" t="s">
        <v>31</v>
      </c>
      <c r="O87" s="94" t="s">
        <v>1801</v>
      </c>
    </row>
    <row r="88" spans="1:16" s="91" customFormat="1" ht="15.75">
      <c r="A88" s="89" t="s">
        <v>5</v>
      </c>
      <c r="B88" s="89" t="s">
        <v>1802</v>
      </c>
      <c r="C88" s="89"/>
      <c r="D88" s="90" t="s">
        <v>361</v>
      </c>
    </row>
    <row r="89" spans="1:16">
      <c r="A89" s="86" t="s">
        <v>7</v>
      </c>
      <c r="B89" s="86" t="s">
        <v>1759</v>
      </c>
    </row>
    <row r="90" spans="1:16">
      <c r="A90" s="86" t="s">
        <v>9</v>
      </c>
      <c r="B90" s="86" t="s">
        <v>1803</v>
      </c>
    </row>
    <row r="91" spans="1:16">
      <c r="A91" s="86" t="s">
        <v>11</v>
      </c>
      <c r="B91" s="86" t="s">
        <v>202</v>
      </c>
    </row>
    <row r="92" spans="1:16">
      <c r="A92" s="86" t="s">
        <v>13</v>
      </c>
      <c r="B92" s="86" t="s">
        <v>58</v>
      </c>
    </row>
    <row r="93" spans="1:16">
      <c r="A93" s="86" t="s">
        <v>15</v>
      </c>
      <c r="B93" s="86">
        <v>1</v>
      </c>
    </row>
    <row r="94" spans="1:16">
      <c r="A94" s="86" t="s">
        <v>16</v>
      </c>
      <c r="B94" s="86" t="s">
        <v>17</v>
      </c>
    </row>
    <row r="95" spans="1:16">
      <c r="A95" s="86" t="s">
        <v>18</v>
      </c>
      <c r="B95" s="86" t="s">
        <v>18</v>
      </c>
    </row>
    <row r="96" spans="1:16" ht="15.75">
      <c r="A96" s="88" t="s">
        <v>19</v>
      </c>
    </row>
    <row r="97" spans="1:16" ht="15.75">
      <c r="A97" s="88" t="s">
        <v>20</v>
      </c>
      <c r="B97" s="88" t="s">
        <v>21</v>
      </c>
      <c r="C97" s="88" t="s">
        <v>198</v>
      </c>
      <c r="D97" s="88" t="s">
        <v>18</v>
      </c>
      <c r="E97" s="88" t="s">
        <v>22</v>
      </c>
      <c r="F97" s="88" t="s">
        <v>7</v>
      </c>
      <c r="G97" s="88" t="s">
        <v>13</v>
      </c>
      <c r="H97" s="88" t="s">
        <v>16</v>
      </c>
      <c r="I97" s="88" t="s">
        <v>23</v>
      </c>
      <c r="J97" s="88" t="s">
        <v>24</v>
      </c>
      <c r="K97" s="88" t="s">
        <v>25</v>
      </c>
      <c r="L97" s="88" t="s">
        <v>26</v>
      </c>
      <c r="M97" s="88" t="s">
        <v>27</v>
      </c>
      <c r="N97" s="88" t="s">
        <v>28</v>
      </c>
      <c r="O97" s="88" t="s">
        <v>9</v>
      </c>
      <c r="P97" s="88" t="s">
        <v>11</v>
      </c>
    </row>
    <row r="98" spans="1:16" ht="15.75">
      <c r="A98" s="86" t="str">
        <f>B88</f>
        <v>produciton of fans</v>
      </c>
      <c r="B98" s="86">
        <f>B93</f>
        <v>1</v>
      </c>
      <c r="D98" s="86" t="str">
        <f>B95</f>
        <v>unit</v>
      </c>
      <c r="E98" s="92" t="s">
        <v>2</v>
      </c>
      <c r="F98" s="86" t="str">
        <f>B89</f>
        <v>airport</v>
      </c>
      <c r="G98" s="86" t="str">
        <f>B92</f>
        <v>GLO</v>
      </c>
      <c r="H98" s="86" t="s">
        <v>30</v>
      </c>
      <c r="I98" s="86">
        <v>0</v>
      </c>
      <c r="J98" s="92" t="s">
        <v>31</v>
      </c>
      <c r="K98" s="92" t="s">
        <v>31</v>
      </c>
      <c r="L98" s="92" t="s">
        <v>31</v>
      </c>
      <c r="M98" s="92" t="s">
        <v>31</v>
      </c>
      <c r="N98" s="92" t="s">
        <v>31</v>
      </c>
      <c r="O98" s="86" t="str">
        <f>B90</f>
        <v>DDAB2684BD164E5296FDF98BD9933314</v>
      </c>
      <c r="P98" s="92" t="s">
        <v>1804</v>
      </c>
    </row>
    <row r="99" spans="1:16" ht="15.75">
      <c r="A99" s="42" t="s">
        <v>329</v>
      </c>
      <c r="B99" s="86">
        <v>33</v>
      </c>
      <c r="D99" s="86" t="s">
        <v>37</v>
      </c>
      <c r="E99" s="86" t="s">
        <v>40</v>
      </c>
      <c r="F99" s="86" t="s">
        <v>1759</v>
      </c>
      <c r="G99" s="86" t="s">
        <v>58</v>
      </c>
      <c r="H99" s="86" t="s">
        <v>33</v>
      </c>
      <c r="I99" s="86">
        <v>2</v>
      </c>
      <c r="J99" s="86">
        <f>LN(B99)</f>
        <v>3.4965075614664802</v>
      </c>
      <c r="K99" s="86">
        <v>0.35860842199999998</v>
      </c>
      <c r="L99" s="92" t="s">
        <v>31</v>
      </c>
      <c r="M99" s="92" t="s">
        <v>31</v>
      </c>
      <c r="N99" s="92" t="s">
        <v>31</v>
      </c>
      <c r="O99" s="94" t="s">
        <v>1801</v>
      </c>
    </row>
    <row r="100" spans="1:16" s="91" customFormat="1" ht="15.75">
      <c r="A100" s="89" t="s">
        <v>5</v>
      </c>
      <c r="B100" s="89" t="s">
        <v>87</v>
      </c>
      <c r="C100" s="89"/>
      <c r="D100" s="90" t="s">
        <v>361</v>
      </c>
    </row>
    <row r="101" spans="1:16">
      <c r="A101" s="86" t="s">
        <v>7</v>
      </c>
      <c r="B101" s="86" t="s">
        <v>1759</v>
      </c>
    </row>
    <row r="102" spans="1:16">
      <c r="A102" s="86" t="s">
        <v>9</v>
      </c>
      <c r="B102" s="86" t="s">
        <v>1805</v>
      </c>
    </row>
    <row r="103" spans="1:16">
      <c r="A103" s="86" t="s">
        <v>11</v>
      </c>
      <c r="B103" s="86" t="s">
        <v>202</v>
      </c>
    </row>
    <row r="104" spans="1:16">
      <c r="A104" s="86" t="s">
        <v>13</v>
      </c>
      <c r="B104" s="86" t="s">
        <v>58</v>
      </c>
    </row>
    <row r="105" spans="1:16">
      <c r="A105" s="86" t="s">
        <v>15</v>
      </c>
      <c r="B105" s="86">
        <v>1</v>
      </c>
    </row>
    <row r="106" spans="1:16">
      <c r="A106" s="86" t="s">
        <v>16</v>
      </c>
      <c r="B106" s="86" t="s">
        <v>17</v>
      </c>
    </row>
    <row r="107" spans="1:16">
      <c r="A107" s="86" t="s">
        <v>18</v>
      </c>
      <c r="B107" s="86" t="s">
        <v>18</v>
      </c>
      <c r="E107" s="86" t="s">
        <v>197</v>
      </c>
    </row>
    <row r="108" spans="1:16" ht="15.75">
      <c r="A108" s="88" t="s">
        <v>19</v>
      </c>
    </row>
    <row r="109" spans="1:16" ht="15.75">
      <c r="A109" s="88" t="s">
        <v>20</v>
      </c>
      <c r="B109" s="88" t="s">
        <v>21</v>
      </c>
      <c r="C109" s="88" t="s">
        <v>198</v>
      </c>
      <c r="D109" s="88" t="s">
        <v>18</v>
      </c>
      <c r="E109" s="88" t="s">
        <v>22</v>
      </c>
      <c r="F109" s="88" t="s">
        <v>7</v>
      </c>
      <c r="G109" s="88" t="s">
        <v>13</v>
      </c>
      <c r="H109" s="88" t="s">
        <v>16</v>
      </c>
      <c r="I109" s="88" t="s">
        <v>23</v>
      </c>
      <c r="J109" s="88" t="s">
        <v>24</v>
      </c>
      <c r="K109" s="88" t="s">
        <v>25</v>
      </c>
      <c r="L109" s="88" t="s">
        <v>26</v>
      </c>
      <c r="M109" s="88" t="s">
        <v>27</v>
      </c>
      <c r="N109" s="88" t="s">
        <v>28</v>
      </c>
      <c r="O109" s="88" t="s">
        <v>9</v>
      </c>
      <c r="P109" s="88" t="s">
        <v>11</v>
      </c>
    </row>
    <row r="110" spans="1:16" ht="15.75">
      <c r="A110" s="86" t="str">
        <f>B100</f>
        <v>production of charging station, medium-term</v>
      </c>
      <c r="B110" s="86">
        <f>B105</f>
        <v>1</v>
      </c>
      <c r="D110" s="86" t="str">
        <f>B107</f>
        <v>unit</v>
      </c>
      <c r="E110" s="92" t="s">
        <v>2</v>
      </c>
      <c r="F110" s="86" t="str">
        <f>B101</f>
        <v>airport</v>
      </c>
      <c r="G110" s="86" t="s">
        <v>58</v>
      </c>
      <c r="H110" s="86" t="s">
        <v>30</v>
      </c>
      <c r="I110" s="86">
        <v>0</v>
      </c>
      <c r="J110" s="92" t="s">
        <v>31</v>
      </c>
      <c r="K110" s="92" t="s">
        <v>31</v>
      </c>
      <c r="L110" s="92" t="s">
        <v>31</v>
      </c>
      <c r="M110" s="92" t="s">
        <v>31</v>
      </c>
      <c r="N110" s="92" t="s">
        <v>31</v>
      </c>
      <c r="O110" s="86" t="str">
        <f>B102</f>
        <v>E42C38D1C5274D05AFC4835D87E12958</v>
      </c>
      <c r="P110" s="92" t="s">
        <v>1806</v>
      </c>
    </row>
    <row r="111" spans="1:16" ht="15.75">
      <c r="A111" s="86" t="str">
        <f>A12</f>
        <v>production of casing</v>
      </c>
      <c r="B111" s="86">
        <v>16</v>
      </c>
      <c r="D111" s="86" t="str">
        <f>D12</f>
        <v>unit</v>
      </c>
      <c r="E111" s="86" t="str">
        <f>E12</f>
        <v>GENESIS_2040_PEMFC-bat_NDC</v>
      </c>
      <c r="F111" s="86" t="str">
        <f>F12</f>
        <v>airport</v>
      </c>
      <c r="G111" s="86" t="str">
        <f>G12</f>
        <v>GLO</v>
      </c>
      <c r="H111" s="86" t="s">
        <v>33</v>
      </c>
      <c r="I111" s="86">
        <v>0</v>
      </c>
      <c r="J111" s="92" t="s">
        <v>31</v>
      </c>
      <c r="K111" s="92" t="s">
        <v>31</v>
      </c>
      <c r="L111" s="92" t="s">
        <v>31</v>
      </c>
      <c r="M111" s="92" t="s">
        <v>31</v>
      </c>
      <c r="N111" s="92" t="s">
        <v>31</v>
      </c>
      <c r="O111" s="86" t="str">
        <f>O12</f>
        <v>7973BE31C4BF4485AEDFFDAAEC40A2F4</v>
      </c>
      <c r="P111" s="92"/>
    </row>
    <row r="112" spans="1:16" ht="15.75">
      <c r="A112" s="86" t="str">
        <f>B14</f>
        <v>production of display unit</v>
      </c>
      <c r="B112" s="86">
        <v>4</v>
      </c>
      <c r="D112" s="86" t="str">
        <f>D24</f>
        <v>unit</v>
      </c>
      <c r="E112" s="86" t="str">
        <f>E24</f>
        <v>GENESIS_2040_PEMFC-bat_NDC</v>
      </c>
      <c r="F112" s="86" t="str">
        <f>F24</f>
        <v>airport</v>
      </c>
      <c r="G112" s="86" t="str">
        <f>G24</f>
        <v>GLO</v>
      </c>
      <c r="H112" s="86" t="s">
        <v>33</v>
      </c>
      <c r="I112" s="86">
        <v>0</v>
      </c>
      <c r="J112" s="92" t="s">
        <v>31</v>
      </c>
      <c r="K112" s="92" t="s">
        <v>31</v>
      </c>
      <c r="L112" s="92" t="s">
        <v>31</v>
      </c>
      <c r="M112" s="92" t="s">
        <v>31</v>
      </c>
      <c r="N112" s="92" t="s">
        <v>31</v>
      </c>
      <c r="O112" s="86" t="str">
        <f>O24</f>
        <v>34291682699047F69508C77059B21350</v>
      </c>
      <c r="P112" s="92"/>
    </row>
    <row r="113" spans="1:16" ht="15.75">
      <c r="A113" s="86" t="str">
        <f>'A. ACDC POWER MODULE '!B2</f>
        <v>production of ACDC power module, battery charging, medium-term</v>
      </c>
      <c r="B113" s="86">
        <v>48</v>
      </c>
      <c r="D113" s="86" t="s">
        <v>18</v>
      </c>
      <c r="E113" s="86" t="str">
        <f t="shared" ref="E113:E114" si="1">E25</f>
        <v>GENESIS_2040_PEMFC-bat_NDC</v>
      </c>
      <c r="F113" t="s">
        <v>1807</v>
      </c>
      <c r="G113" s="86" t="s">
        <v>14</v>
      </c>
      <c r="H113" s="86" t="s">
        <v>33</v>
      </c>
      <c r="I113" s="86">
        <v>0</v>
      </c>
      <c r="J113" s="92" t="s">
        <v>31</v>
      </c>
      <c r="K113" s="92" t="s">
        <v>31</v>
      </c>
      <c r="L113" s="92" t="s">
        <v>31</v>
      </c>
      <c r="M113" s="92" t="s">
        <v>31</v>
      </c>
      <c r="N113" s="92" t="s">
        <v>31</v>
      </c>
      <c r="O113" t="str">
        <f>'A. ACDC POWER MODULE '!B4</f>
        <v>F5EEF73B89C948DC9C8FA9CA6469F21F</v>
      </c>
      <c r="P113" s="92"/>
    </row>
    <row r="114" spans="1:16" ht="15.75">
      <c r="A114" s="86" t="str">
        <f>'B. DCDC POWER MODULE '!B2</f>
        <v>production of DCDC power module, battery charging, medium-term</v>
      </c>
      <c r="B114" s="86">
        <v>48</v>
      </c>
      <c r="D114" s="86" t="s">
        <v>18</v>
      </c>
      <c r="E114" s="86" t="str">
        <f t="shared" si="1"/>
        <v>GENESIS_2040_PEMFC-bat_NDC</v>
      </c>
      <c r="F114" t="s">
        <v>1807</v>
      </c>
      <c r="G114" s="86" t="s">
        <v>14</v>
      </c>
      <c r="H114" s="86" t="s">
        <v>33</v>
      </c>
      <c r="I114" s="86">
        <v>0</v>
      </c>
      <c r="J114" s="92" t="s">
        <v>31</v>
      </c>
      <c r="K114" s="92" t="s">
        <v>31</v>
      </c>
      <c r="L114" s="92" t="s">
        <v>31</v>
      </c>
      <c r="M114" s="92" t="s">
        <v>31</v>
      </c>
      <c r="N114" s="92" t="s">
        <v>31</v>
      </c>
      <c r="O114" t="str">
        <f>'B. DCDC POWER MODULE '!B4</f>
        <v>E1BEB9AFA9134BEAA4FD2DEFCE863217</v>
      </c>
      <c r="P114" s="92"/>
    </row>
    <row r="115" spans="1:16" ht="15.75">
      <c r="A115" s="86" t="str">
        <f>A37</f>
        <v>production of plug</v>
      </c>
      <c r="B115" s="86">
        <v>4</v>
      </c>
      <c r="D115" s="86" t="str">
        <f>D37</f>
        <v>unit</v>
      </c>
      <c r="E115" s="86" t="str">
        <f>E37</f>
        <v>GENESIS_2040_PEMFC-bat_NDC</v>
      </c>
      <c r="F115" s="86" t="str">
        <f>F37</f>
        <v>airport</v>
      </c>
      <c r="G115" s="86" t="str">
        <f>G37</f>
        <v>GLO</v>
      </c>
      <c r="H115" s="86" t="s">
        <v>33</v>
      </c>
      <c r="I115" s="86">
        <v>0</v>
      </c>
      <c r="J115" s="92" t="s">
        <v>31</v>
      </c>
      <c r="K115" s="92" t="s">
        <v>31</v>
      </c>
      <c r="L115" s="92" t="s">
        <v>31</v>
      </c>
      <c r="M115" s="92" t="s">
        <v>31</v>
      </c>
      <c r="N115" s="92" t="s">
        <v>31</v>
      </c>
      <c r="O115" s="86" t="str">
        <f>O37</f>
        <v>ECA7B740F26344F0A234B5C1E2F2CD8E</v>
      </c>
      <c r="P115" s="92"/>
    </row>
    <row r="116" spans="1:16" ht="15.75">
      <c r="A116" s="86" t="str">
        <f>A55</f>
        <v>production of transformer</v>
      </c>
      <c r="B116" s="86">
        <v>48</v>
      </c>
      <c r="D116" s="86" t="str">
        <f>D55</f>
        <v>unit</v>
      </c>
      <c r="E116" s="86" t="str">
        <f t="shared" ref="E116:G116" si="2">E55</f>
        <v>GENESIS_2040_PEMFC-bat_NDC</v>
      </c>
      <c r="F116" s="86" t="str">
        <f t="shared" si="2"/>
        <v>airport</v>
      </c>
      <c r="G116" s="86" t="str">
        <f t="shared" si="2"/>
        <v>GLO</v>
      </c>
      <c r="H116" s="86" t="s">
        <v>33</v>
      </c>
      <c r="I116" s="86">
        <v>0</v>
      </c>
      <c r="J116" s="92" t="s">
        <v>31</v>
      </c>
      <c r="K116" s="92" t="s">
        <v>31</v>
      </c>
      <c r="L116" s="92" t="s">
        <v>31</v>
      </c>
      <c r="M116" s="92" t="s">
        <v>31</v>
      </c>
      <c r="N116" s="92" t="s">
        <v>31</v>
      </c>
      <c r="O116" s="86" t="str">
        <f>O55</f>
        <v>A838D77AFB304C2382F68188BB083898</v>
      </c>
      <c r="P116" s="92"/>
    </row>
    <row r="117" spans="1:16" ht="15.75">
      <c r="A117" s="86" t="str">
        <f>A70</f>
        <v>production of charging cable</v>
      </c>
      <c r="B117" s="86">
        <v>4</v>
      </c>
      <c r="D117" s="86" t="str">
        <f>D70</f>
        <v>unit</v>
      </c>
      <c r="E117" s="86" t="str">
        <f t="shared" ref="E117:G117" si="3">E70</f>
        <v>GENESIS_2040_PEMFC-bat_NDC</v>
      </c>
      <c r="F117" s="86" t="str">
        <f t="shared" si="3"/>
        <v>airport</v>
      </c>
      <c r="G117" s="86" t="str">
        <f t="shared" si="3"/>
        <v>GLO</v>
      </c>
      <c r="H117" s="86" t="s">
        <v>33</v>
      </c>
      <c r="I117" s="86">
        <v>0</v>
      </c>
      <c r="J117" s="92" t="s">
        <v>31</v>
      </c>
      <c r="K117" s="92" t="s">
        <v>31</v>
      </c>
      <c r="L117" s="92" t="s">
        <v>31</v>
      </c>
      <c r="M117" s="92" t="s">
        <v>31</v>
      </c>
      <c r="N117" s="92" t="s">
        <v>31</v>
      </c>
      <c r="O117" s="86" t="str">
        <f>O70</f>
        <v>D62B3CC5360949A3AD8278945B4E7494</v>
      </c>
      <c r="P117" s="92"/>
    </row>
    <row r="118" spans="1:16" ht="15.75">
      <c r="A118" s="86" t="str">
        <f>A86</f>
        <v>produciton of control cabinet, fuses, signal cables</v>
      </c>
      <c r="B118" s="86">
        <v>16</v>
      </c>
      <c r="D118" s="86" t="str">
        <f>D86</f>
        <v>unit</v>
      </c>
      <c r="E118" s="86" t="str">
        <f t="shared" ref="E118:G118" si="4">E86</f>
        <v>GENESIS_2040_PEMFC-bat_NDC</v>
      </c>
      <c r="F118" s="86" t="str">
        <f t="shared" si="4"/>
        <v>airport</v>
      </c>
      <c r="G118" s="86" t="str">
        <f t="shared" si="4"/>
        <v>GLO</v>
      </c>
      <c r="H118" s="86" t="s">
        <v>33</v>
      </c>
      <c r="I118" s="86">
        <v>0</v>
      </c>
      <c r="J118" s="92" t="s">
        <v>31</v>
      </c>
      <c r="K118" s="92" t="s">
        <v>31</v>
      </c>
      <c r="L118" s="92" t="s">
        <v>31</v>
      </c>
      <c r="M118" s="92" t="s">
        <v>31</v>
      </c>
      <c r="N118" s="92" t="s">
        <v>31</v>
      </c>
      <c r="O118" s="86" t="str">
        <f>O86</f>
        <v>3694FE4A1D7A44618FD5A5A7AE3F2355</v>
      </c>
      <c r="P118" s="92"/>
    </row>
    <row r="119" spans="1:16" ht="15.75">
      <c r="A119" s="86" t="str">
        <f>A98</f>
        <v>produciton of fans</v>
      </c>
      <c r="B119" s="86">
        <v>48</v>
      </c>
      <c r="D119" s="86" t="str">
        <f>D98</f>
        <v>unit</v>
      </c>
      <c r="E119" s="86" t="str">
        <f t="shared" ref="E119:G120" si="5">E98</f>
        <v>GENESIS_2040_PEMFC-bat_NDC</v>
      </c>
      <c r="F119" s="86" t="str">
        <f t="shared" si="5"/>
        <v>airport</v>
      </c>
      <c r="G119" s="86" t="str">
        <f t="shared" si="5"/>
        <v>GLO</v>
      </c>
      <c r="H119" s="86" t="s">
        <v>33</v>
      </c>
      <c r="I119" s="86">
        <v>0</v>
      </c>
      <c r="J119" s="92" t="s">
        <v>31</v>
      </c>
      <c r="K119" s="92" t="s">
        <v>31</v>
      </c>
      <c r="L119" s="92" t="s">
        <v>31</v>
      </c>
      <c r="M119" s="92" t="s">
        <v>31</v>
      </c>
      <c r="N119" s="92" t="s">
        <v>31</v>
      </c>
      <c r="O119" s="86" t="str">
        <f>O98</f>
        <v>DDAB2684BD164E5296FDF98BD9933314</v>
      </c>
      <c r="P119" s="92"/>
    </row>
    <row r="120" spans="1:16" ht="15.75">
      <c r="A120" s="86" t="s">
        <v>1724</v>
      </c>
      <c r="B120" s="86">
        <v>1</v>
      </c>
      <c r="D120" s="86" t="s">
        <v>18</v>
      </c>
      <c r="E120" s="86" t="str">
        <f t="shared" si="5"/>
        <v>ecoinvent_remind_SSP2-NDC_2040</v>
      </c>
      <c r="F120" s="86" t="s">
        <v>194</v>
      </c>
      <c r="G120" s="86" t="str">
        <f t="shared" si="5"/>
        <v>GLO</v>
      </c>
      <c r="H120" s="86" t="s">
        <v>33</v>
      </c>
      <c r="I120" s="86">
        <v>0</v>
      </c>
      <c r="J120" s="92" t="s">
        <v>31</v>
      </c>
      <c r="K120" s="92" t="s">
        <v>31</v>
      </c>
      <c r="L120" s="92" t="s">
        <v>31</v>
      </c>
      <c r="M120" s="92" t="s">
        <v>31</v>
      </c>
      <c r="N120" s="92" t="s">
        <v>31</v>
      </c>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D2AF-E8D0-4B87-80FE-28D0F46672EE}">
  <dimension ref="A1:S67"/>
  <sheetViews>
    <sheetView zoomScale="82" workbookViewId="0">
      <selection activeCell="B13" sqref="B13"/>
    </sheetView>
  </sheetViews>
  <sheetFormatPr defaultRowHeight="15"/>
  <cols>
    <col min="1" max="1" width="43.140625" bestFit="1" customWidth="1"/>
    <col min="4" max="4" width="34.42578125" bestFit="1" customWidth="1"/>
  </cols>
  <sheetData>
    <row r="1" spans="1:17">
      <c r="A1" t="s">
        <v>0</v>
      </c>
      <c r="B1">
        <v>14</v>
      </c>
    </row>
    <row r="2" spans="1:17" ht="15.75">
      <c r="A2" s="99" t="s">
        <v>5</v>
      </c>
      <c r="B2" s="100" t="s">
        <v>1808</v>
      </c>
      <c r="C2" s="39"/>
      <c r="D2" s="41"/>
      <c r="E2" s="41"/>
      <c r="F2" s="41"/>
      <c r="G2" s="41"/>
      <c r="H2" s="41"/>
      <c r="I2" s="41"/>
      <c r="J2" s="41"/>
      <c r="K2" s="41"/>
      <c r="L2" s="41"/>
      <c r="M2" s="41"/>
      <c r="Q2" t="s">
        <v>778</v>
      </c>
    </row>
    <row r="3" spans="1:17">
      <c r="A3" s="101" t="s">
        <v>7</v>
      </c>
      <c r="B3" t="s">
        <v>1807</v>
      </c>
      <c r="C3" s="102"/>
    </row>
    <row r="4" spans="1:17">
      <c r="A4" s="101" t="s">
        <v>9</v>
      </c>
      <c r="B4" t="s">
        <v>1809</v>
      </c>
      <c r="C4" s="102"/>
    </row>
    <row r="5" spans="1:17">
      <c r="A5" s="101" t="s">
        <v>11</v>
      </c>
      <c r="B5" s="103" t="s">
        <v>781</v>
      </c>
    </row>
    <row r="6" spans="1:17">
      <c r="A6" s="101" t="s">
        <v>13</v>
      </c>
      <c r="B6" s="104" t="s">
        <v>741</v>
      </c>
    </row>
    <row r="7" spans="1:17">
      <c r="A7" s="101" t="s">
        <v>15</v>
      </c>
      <c r="B7">
        <v>1</v>
      </c>
    </row>
    <row r="8" spans="1:17">
      <c r="A8" s="101" t="s">
        <v>16</v>
      </c>
      <c r="B8" t="s">
        <v>17</v>
      </c>
    </row>
    <row r="9" spans="1:17">
      <c r="A9" s="101" t="s">
        <v>18</v>
      </c>
      <c r="B9" t="s">
        <v>37</v>
      </c>
    </row>
    <row r="10" spans="1:17" ht="15.75">
      <c r="A10" s="105" t="s">
        <v>19</v>
      </c>
    </row>
    <row r="11" spans="1:17" ht="15.75">
      <c r="A11" s="10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7" ht="15.75">
      <c r="A12" s="17" t="s">
        <v>1808</v>
      </c>
      <c r="B12">
        <v>1</v>
      </c>
      <c r="C12" t="s">
        <v>37</v>
      </c>
      <c r="D12" s="17" t="s">
        <v>2</v>
      </c>
      <c r="E12" t="s">
        <v>29</v>
      </c>
      <c r="F12" s="104" t="s">
        <v>741</v>
      </c>
      <c r="G12" t="s">
        <v>30</v>
      </c>
      <c r="H12">
        <v>1</v>
      </c>
      <c r="I12">
        <v>1</v>
      </c>
      <c r="J12" t="s">
        <v>31</v>
      </c>
      <c r="K12" t="s">
        <v>31</v>
      </c>
      <c r="L12" t="s">
        <v>31</v>
      </c>
      <c r="M12" t="s">
        <v>31</v>
      </c>
    </row>
    <row r="13" spans="1:17" ht="15.75">
      <c r="A13" s="106" t="s">
        <v>782</v>
      </c>
      <c r="B13">
        <v>-1</v>
      </c>
      <c r="C13" t="s">
        <v>37</v>
      </c>
      <c r="D13" s="17" t="s">
        <v>40</v>
      </c>
      <c r="E13" t="s">
        <v>29</v>
      </c>
      <c r="F13" s="104" t="s">
        <v>741</v>
      </c>
      <c r="G13" t="s">
        <v>33</v>
      </c>
      <c r="H13">
        <v>1</v>
      </c>
      <c r="I13">
        <v>1</v>
      </c>
      <c r="J13" t="s">
        <v>31</v>
      </c>
      <c r="K13" t="s">
        <v>31</v>
      </c>
      <c r="L13" t="s">
        <v>31</v>
      </c>
      <c r="M13" t="s">
        <v>31</v>
      </c>
    </row>
    <row r="14" spans="1:17" ht="15.75">
      <c r="A14" s="99" t="s">
        <v>5</v>
      </c>
      <c r="B14" s="100" t="s">
        <v>1810</v>
      </c>
      <c r="C14" s="39"/>
      <c r="D14" s="41"/>
      <c r="E14" s="41"/>
      <c r="F14" s="41"/>
      <c r="G14" s="41"/>
      <c r="H14" s="41"/>
      <c r="I14" s="41"/>
      <c r="J14" s="41"/>
      <c r="K14" s="41"/>
      <c r="L14" s="41"/>
      <c r="M14" s="41"/>
    </row>
    <row r="15" spans="1:17">
      <c r="A15" s="101" t="s">
        <v>7</v>
      </c>
      <c r="B15" t="s">
        <v>1807</v>
      </c>
      <c r="C15" s="102"/>
    </row>
    <row r="16" spans="1:17">
      <c r="A16" s="101" t="s">
        <v>9</v>
      </c>
      <c r="B16" s="22" t="s">
        <v>1811</v>
      </c>
      <c r="C16" s="102"/>
    </row>
    <row r="17" spans="1:18">
      <c r="A17" s="101" t="s">
        <v>11</v>
      </c>
      <c r="B17" s="103" t="s">
        <v>781</v>
      </c>
    </row>
    <row r="18" spans="1:18">
      <c r="A18" s="101" t="s">
        <v>13</v>
      </c>
      <c r="B18" s="104" t="s">
        <v>741</v>
      </c>
    </row>
    <row r="19" spans="1:18">
      <c r="A19" s="101" t="s">
        <v>15</v>
      </c>
      <c r="B19">
        <v>1</v>
      </c>
    </row>
    <row r="20" spans="1:18">
      <c r="A20" s="101" t="s">
        <v>16</v>
      </c>
      <c r="B20" t="s">
        <v>17</v>
      </c>
    </row>
    <row r="21" spans="1:18">
      <c r="A21" s="101" t="s">
        <v>18</v>
      </c>
      <c r="B21" t="s">
        <v>37</v>
      </c>
    </row>
    <row r="22" spans="1:18" ht="15.75">
      <c r="A22" s="105" t="s">
        <v>19</v>
      </c>
    </row>
    <row r="23" spans="1:18" ht="15.75">
      <c r="A23" s="105" t="s">
        <v>20</v>
      </c>
      <c r="B23" s="16" t="s">
        <v>21</v>
      </c>
      <c r="C23" s="16" t="s">
        <v>18</v>
      </c>
      <c r="D23" s="16" t="s">
        <v>22</v>
      </c>
      <c r="E23" s="16" t="s">
        <v>7</v>
      </c>
      <c r="F23" s="16" t="s">
        <v>13</v>
      </c>
      <c r="G23" s="16" t="s">
        <v>16</v>
      </c>
      <c r="H23" s="16" t="s">
        <v>23</v>
      </c>
      <c r="I23" s="16" t="s">
        <v>24</v>
      </c>
      <c r="J23" s="16" t="s">
        <v>25</v>
      </c>
      <c r="K23" s="16" t="s">
        <v>26</v>
      </c>
      <c r="L23" s="16" t="s">
        <v>27</v>
      </c>
      <c r="M23" s="16" t="s">
        <v>28</v>
      </c>
      <c r="N23" s="16" t="s">
        <v>11</v>
      </c>
    </row>
    <row r="24" spans="1:18" ht="15.75">
      <c r="A24" s="17" t="s">
        <v>1810</v>
      </c>
      <c r="B24">
        <v>1</v>
      </c>
      <c r="C24" t="s">
        <v>37</v>
      </c>
      <c r="D24" s="17" t="s">
        <v>2</v>
      </c>
      <c r="E24" t="s">
        <v>29</v>
      </c>
      <c r="F24" s="104" t="s">
        <v>741</v>
      </c>
      <c r="G24" t="s">
        <v>30</v>
      </c>
      <c r="H24">
        <v>1</v>
      </c>
      <c r="I24">
        <v>1</v>
      </c>
      <c r="J24" t="s">
        <v>31</v>
      </c>
      <c r="K24" t="s">
        <v>31</v>
      </c>
      <c r="L24" t="s">
        <v>31</v>
      </c>
      <c r="M24" t="s">
        <v>31</v>
      </c>
    </row>
    <row r="25" spans="1:18" ht="15.75">
      <c r="A25" s="106" t="s">
        <v>309</v>
      </c>
      <c r="B25">
        <v>-1</v>
      </c>
      <c r="C25" t="s">
        <v>37</v>
      </c>
      <c r="D25" s="17" t="s">
        <v>40</v>
      </c>
      <c r="E25" t="s">
        <v>29</v>
      </c>
      <c r="F25" t="s">
        <v>741</v>
      </c>
      <c r="G25" t="s">
        <v>33</v>
      </c>
      <c r="H25">
        <v>1</v>
      </c>
      <c r="I25">
        <v>1</v>
      </c>
      <c r="J25" t="s">
        <v>31</v>
      </c>
      <c r="K25" t="s">
        <v>31</v>
      </c>
      <c r="L25" t="s">
        <v>31</v>
      </c>
      <c r="M25" t="s">
        <v>31</v>
      </c>
    </row>
    <row r="26" spans="1:18" ht="15.75">
      <c r="A26" s="107" t="s">
        <v>5</v>
      </c>
      <c r="B26" s="108" t="s">
        <v>1812</v>
      </c>
      <c r="C26" s="39"/>
      <c r="D26" s="41"/>
      <c r="E26" s="41"/>
      <c r="F26" s="41"/>
      <c r="G26" s="41"/>
      <c r="H26" s="41"/>
      <c r="I26" s="41"/>
      <c r="J26" s="41"/>
      <c r="K26" s="41"/>
      <c r="L26" s="41"/>
      <c r="M26" s="41"/>
      <c r="N26" s="41"/>
      <c r="O26" s="41"/>
      <c r="P26" s="41"/>
      <c r="Q26" s="41"/>
      <c r="R26" s="41"/>
    </row>
    <row r="27" spans="1:18">
      <c r="A27" s="109" t="s">
        <v>7</v>
      </c>
      <c r="B27" t="s">
        <v>1807</v>
      </c>
      <c r="C27" s="102"/>
      <c r="O27" s="59" t="s">
        <v>1813</v>
      </c>
    </row>
    <row r="28" spans="1:18">
      <c r="A28" s="109" t="s">
        <v>9</v>
      </c>
      <c r="B28" t="s">
        <v>1814</v>
      </c>
      <c r="C28" s="102"/>
    </row>
    <row r="29" spans="1:18" ht="10.5" customHeight="1">
      <c r="A29" s="109" t="s">
        <v>11</v>
      </c>
      <c r="B29" s="103" t="s">
        <v>789</v>
      </c>
    </row>
    <row r="30" spans="1:18">
      <c r="A30" s="109" t="s">
        <v>13</v>
      </c>
      <c r="B30" t="s">
        <v>14</v>
      </c>
    </row>
    <row r="31" spans="1:18">
      <c r="A31" s="109" t="s">
        <v>15</v>
      </c>
      <c r="B31" s="23">
        <v>0.16</v>
      </c>
    </row>
    <row r="32" spans="1:18">
      <c r="A32" s="109" t="s">
        <v>16</v>
      </c>
      <c r="B32" t="s">
        <v>17</v>
      </c>
    </row>
    <row r="33" spans="1:19">
      <c r="A33" s="109" t="s">
        <v>18</v>
      </c>
      <c r="B33" t="s">
        <v>37</v>
      </c>
    </row>
    <row r="34" spans="1:19" ht="15.75">
      <c r="A34" s="110" t="s">
        <v>19</v>
      </c>
    </row>
    <row r="35" spans="1:19" ht="15.75">
      <c r="A35" s="110" t="s">
        <v>20</v>
      </c>
      <c r="B35" s="16" t="s">
        <v>21</v>
      </c>
      <c r="C35" s="16" t="s">
        <v>18</v>
      </c>
      <c r="D35" s="16" t="s">
        <v>22</v>
      </c>
      <c r="E35" s="16" t="s">
        <v>7</v>
      </c>
      <c r="F35" s="16" t="s">
        <v>13</v>
      </c>
      <c r="G35" s="16" t="s">
        <v>16</v>
      </c>
      <c r="H35" s="16" t="s">
        <v>23</v>
      </c>
      <c r="I35" s="16" t="s">
        <v>24</v>
      </c>
      <c r="J35" s="16" t="s">
        <v>25</v>
      </c>
      <c r="K35" s="16" t="s">
        <v>26</v>
      </c>
      <c r="L35" s="16" t="s">
        <v>27</v>
      </c>
      <c r="M35" s="16" t="s">
        <v>28</v>
      </c>
      <c r="N35" s="16" t="s">
        <v>11</v>
      </c>
    </row>
    <row r="36" spans="1:19" ht="15.75">
      <c r="A36" s="22" t="s">
        <v>1812</v>
      </c>
      <c r="B36" s="23">
        <v>0.16</v>
      </c>
      <c r="C36" t="s">
        <v>37</v>
      </c>
      <c r="D36" s="111" t="s">
        <v>2</v>
      </c>
      <c r="E36" t="s">
        <v>29</v>
      </c>
      <c r="F36" s="104" t="s">
        <v>14</v>
      </c>
      <c r="G36" t="s">
        <v>30</v>
      </c>
      <c r="H36">
        <v>1</v>
      </c>
      <c r="I36" s="23">
        <f>B36</f>
        <v>0.16</v>
      </c>
      <c r="J36" t="s">
        <v>31</v>
      </c>
      <c r="K36" t="s">
        <v>31</v>
      </c>
      <c r="L36" t="s">
        <v>31</v>
      </c>
      <c r="M36" t="s">
        <v>31</v>
      </c>
      <c r="O36" s="42"/>
      <c r="P36" s="112"/>
    </row>
    <row r="37" spans="1:19" ht="15.75">
      <c r="A37" s="61" t="s">
        <v>704</v>
      </c>
      <c r="B37" s="113">
        <f>B36</f>
        <v>0.16</v>
      </c>
      <c r="C37" t="s">
        <v>37</v>
      </c>
      <c r="D37" s="17" t="s">
        <v>40</v>
      </c>
      <c r="E37" t="s">
        <v>29</v>
      </c>
      <c r="F37" s="104" t="s">
        <v>58</v>
      </c>
      <c r="G37" t="s">
        <v>33</v>
      </c>
      <c r="H37">
        <v>1</v>
      </c>
      <c r="I37" s="23">
        <f t="shared" ref="I37:I38" si="0">B37</f>
        <v>0.16</v>
      </c>
      <c r="J37" t="s">
        <v>31</v>
      </c>
      <c r="K37" t="s">
        <v>31</v>
      </c>
      <c r="L37" t="s">
        <v>31</v>
      </c>
      <c r="M37" t="s">
        <v>31</v>
      </c>
      <c r="O37" s="42"/>
      <c r="P37" s="112"/>
    </row>
    <row r="38" spans="1:19" ht="15.75">
      <c r="A38" s="61" t="s">
        <v>871</v>
      </c>
      <c r="B38" s="113">
        <f>B37</f>
        <v>0.16</v>
      </c>
      <c r="C38" t="s">
        <v>37</v>
      </c>
      <c r="D38" s="17" t="s">
        <v>40</v>
      </c>
      <c r="E38" t="s">
        <v>29</v>
      </c>
      <c r="F38" s="104" t="s">
        <v>58</v>
      </c>
      <c r="G38" t="s">
        <v>33</v>
      </c>
      <c r="H38">
        <v>1</v>
      </c>
      <c r="I38" s="23">
        <f t="shared" si="0"/>
        <v>0.16</v>
      </c>
      <c r="J38" t="s">
        <v>31</v>
      </c>
      <c r="K38" t="s">
        <v>31</v>
      </c>
      <c r="L38" t="s">
        <v>31</v>
      </c>
      <c r="M38" t="s">
        <v>31</v>
      </c>
      <c r="O38" s="42"/>
      <c r="P38" s="112"/>
    </row>
    <row r="39" spans="1:19" s="41" customFormat="1" ht="15.75">
      <c r="A39" s="99" t="s">
        <v>5</v>
      </c>
      <c r="B39" s="108" t="s">
        <v>1815</v>
      </c>
      <c r="C39" s="39"/>
    </row>
    <row r="40" spans="1:19">
      <c r="A40" s="101" t="s">
        <v>7</v>
      </c>
      <c r="B40" t="s">
        <v>1807</v>
      </c>
      <c r="C40" s="102"/>
    </row>
    <row r="41" spans="1:19">
      <c r="A41" s="114" t="s">
        <v>9</v>
      </c>
      <c r="B41" t="s">
        <v>1816</v>
      </c>
      <c r="C41" s="102"/>
    </row>
    <row r="42" spans="1:19" ht="15.75" customHeight="1">
      <c r="A42" s="101" t="s">
        <v>11</v>
      </c>
      <c r="B42" s="103" t="s">
        <v>789</v>
      </c>
      <c r="O42" s="59" t="s">
        <v>1813</v>
      </c>
    </row>
    <row r="43" spans="1:19">
      <c r="A43" s="101" t="s">
        <v>13</v>
      </c>
      <c r="B43" t="s">
        <v>14</v>
      </c>
    </row>
    <row r="44" spans="1:19">
      <c r="A44" s="101" t="s">
        <v>15</v>
      </c>
      <c r="B44" s="115">
        <v>0.25</v>
      </c>
    </row>
    <row r="45" spans="1:19">
      <c r="A45" s="101" t="s">
        <v>16</v>
      </c>
      <c r="B45" t="s">
        <v>17</v>
      </c>
    </row>
    <row r="46" spans="1:19">
      <c r="A46" s="101" t="s">
        <v>18</v>
      </c>
      <c r="B46" t="s">
        <v>37</v>
      </c>
      <c r="S46" s="116"/>
    </row>
    <row r="47" spans="1:19" ht="15.75">
      <c r="A47" s="105" t="s">
        <v>19</v>
      </c>
    </row>
    <row r="48" spans="1:19" ht="15.75">
      <c r="A48" s="16" t="s">
        <v>20</v>
      </c>
      <c r="B48" s="16" t="s">
        <v>21</v>
      </c>
      <c r="C48" s="16" t="s">
        <v>18</v>
      </c>
      <c r="D48" s="16" t="s">
        <v>22</v>
      </c>
      <c r="E48" s="16" t="s">
        <v>7</v>
      </c>
      <c r="F48" s="16" t="s">
        <v>13</v>
      </c>
      <c r="G48" s="16" t="s">
        <v>16</v>
      </c>
      <c r="H48" s="16" t="s">
        <v>23</v>
      </c>
      <c r="I48" s="16" t="s">
        <v>24</v>
      </c>
      <c r="J48" s="16" t="s">
        <v>25</v>
      </c>
      <c r="K48" s="16" t="s">
        <v>26</v>
      </c>
      <c r="L48" s="16" t="s">
        <v>27</v>
      </c>
      <c r="M48" s="16" t="s">
        <v>28</v>
      </c>
      <c r="N48" s="16" t="s">
        <v>11</v>
      </c>
    </row>
    <row r="49" spans="1:16" ht="15.75">
      <c r="A49" t="s">
        <v>1815</v>
      </c>
      <c r="B49" s="23">
        <v>0.25</v>
      </c>
      <c r="C49" t="s">
        <v>37</v>
      </c>
      <c r="D49" s="111" t="s">
        <v>2</v>
      </c>
      <c r="E49" t="s">
        <v>29</v>
      </c>
      <c r="F49" t="s">
        <v>14</v>
      </c>
      <c r="G49" t="s">
        <v>874</v>
      </c>
      <c r="H49">
        <v>1</v>
      </c>
      <c r="I49" s="23">
        <f>B49</f>
        <v>0.25</v>
      </c>
      <c r="J49" t="s">
        <v>31</v>
      </c>
      <c r="K49" t="s">
        <v>31</v>
      </c>
      <c r="L49" t="s">
        <v>31</v>
      </c>
      <c r="M49" t="s">
        <v>31</v>
      </c>
      <c r="O49" s="117"/>
      <c r="P49" s="118"/>
    </row>
    <row r="50" spans="1:16" ht="15.75">
      <c r="A50" s="47" t="s">
        <v>655</v>
      </c>
      <c r="B50" s="23">
        <v>0.25</v>
      </c>
      <c r="C50" t="s">
        <v>37</v>
      </c>
      <c r="D50" s="17" t="s">
        <v>40</v>
      </c>
      <c r="E50" t="s">
        <v>29</v>
      </c>
      <c r="F50" s="104" t="s">
        <v>58</v>
      </c>
      <c r="G50" t="s">
        <v>33</v>
      </c>
      <c r="H50">
        <v>1</v>
      </c>
      <c r="I50" s="23">
        <f t="shared" ref="I50:I52" si="1">B50</f>
        <v>0.25</v>
      </c>
      <c r="J50" t="s">
        <v>31</v>
      </c>
      <c r="K50" t="s">
        <v>31</v>
      </c>
      <c r="L50" t="s">
        <v>31</v>
      </c>
      <c r="M50" t="s">
        <v>31</v>
      </c>
      <c r="O50" s="119"/>
      <c r="P50" s="120"/>
    </row>
    <row r="51" spans="1:16" ht="15.75">
      <c r="A51" s="47" t="s">
        <v>624</v>
      </c>
      <c r="B51" s="23">
        <v>0.25</v>
      </c>
      <c r="C51" t="s">
        <v>37</v>
      </c>
      <c r="D51" s="17" t="s">
        <v>40</v>
      </c>
      <c r="E51" t="s">
        <v>29</v>
      </c>
      <c r="F51" s="104" t="s">
        <v>58</v>
      </c>
      <c r="G51" t="s">
        <v>33</v>
      </c>
      <c r="H51">
        <v>1</v>
      </c>
      <c r="I51" s="23">
        <f t="shared" si="1"/>
        <v>0.25</v>
      </c>
      <c r="J51" t="s">
        <v>31</v>
      </c>
      <c r="K51" t="s">
        <v>31</v>
      </c>
      <c r="L51" t="s">
        <v>31</v>
      </c>
      <c r="M51" t="s">
        <v>31</v>
      </c>
      <c r="O51" s="119"/>
      <c r="P51" s="120"/>
    </row>
    <row r="52" spans="1:16" ht="15.75">
      <c r="A52" s="47" t="s">
        <v>875</v>
      </c>
      <c r="B52" s="23">
        <v>0.25</v>
      </c>
      <c r="C52" t="s">
        <v>37</v>
      </c>
      <c r="D52" s="17" t="s">
        <v>40</v>
      </c>
      <c r="E52" t="s">
        <v>29</v>
      </c>
      <c r="F52" s="104" t="s">
        <v>35</v>
      </c>
      <c r="G52" t="s">
        <v>33</v>
      </c>
      <c r="H52">
        <v>1</v>
      </c>
      <c r="I52" s="23">
        <f t="shared" si="1"/>
        <v>0.25</v>
      </c>
      <c r="J52" t="s">
        <v>31</v>
      </c>
      <c r="K52" t="s">
        <v>31</v>
      </c>
      <c r="L52" t="s">
        <v>31</v>
      </c>
      <c r="M52" t="s">
        <v>31</v>
      </c>
      <c r="O52" s="119"/>
      <c r="P52" s="120"/>
    </row>
    <row r="53" spans="1:16" ht="15.75">
      <c r="A53" s="99" t="s">
        <v>5</v>
      </c>
      <c r="B53" s="108" t="s">
        <v>1817</v>
      </c>
      <c r="C53" s="39"/>
      <c r="D53" s="41"/>
      <c r="E53" s="41"/>
      <c r="F53" s="41"/>
      <c r="G53" s="41"/>
      <c r="H53" s="41"/>
      <c r="I53" s="41"/>
      <c r="J53" s="41"/>
      <c r="K53" s="41"/>
      <c r="L53" s="41"/>
      <c r="M53" s="41"/>
    </row>
    <row r="54" spans="1:16">
      <c r="A54" s="101" t="s">
        <v>7</v>
      </c>
      <c r="B54" t="s">
        <v>1807</v>
      </c>
      <c r="C54" s="102"/>
    </row>
    <row r="55" spans="1:16">
      <c r="A55" s="101" t="s">
        <v>9</v>
      </c>
      <c r="B55" s="22" t="s">
        <v>1818</v>
      </c>
      <c r="C55" s="102"/>
    </row>
    <row r="56" spans="1:16">
      <c r="A56" s="101" t="s">
        <v>11</v>
      </c>
      <c r="B56" s="103" t="s">
        <v>781</v>
      </c>
    </row>
    <row r="57" spans="1:16">
      <c r="A57" s="101" t="s">
        <v>13</v>
      </c>
      <c r="B57" s="104" t="s">
        <v>14</v>
      </c>
      <c r="O57" s="59" t="s">
        <v>1819</v>
      </c>
    </row>
    <row r="58" spans="1:16">
      <c r="A58" s="101" t="s">
        <v>15</v>
      </c>
      <c r="B58">
        <v>0.25</v>
      </c>
    </row>
    <row r="59" spans="1:16">
      <c r="A59" s="101" t="s">
        <v>16</v>
      </c>
      <c r="B59" t="s">
        <v>17</v>
      </c>
    </row>
    <row r="60" spans="1:16">
      <c r="A60" s="101" t="s">
        <v>18</v>
      </c>
      <c r="B60" t="s">
        <v>37</v>
      </c>
    </row>
    <row r="61" spans="1:16" ht="15.75">
      <c r="A61" s="105" t="s">
        <v>19</v>
      </c>
    </row>
    <row r="62" spans="1:16" ht="15.75">
      <c r="A62" s="105" t="s">
        <v>20</v>
      </c>
      <c r="B62" s="16" t="s">
        <v>21</v>
      </c>
      <c r="C62" s="16" t="s">
        <v>18</v>
      </c>
      <c r="D62" s="16" t="s">
        <v>22</v>
      </c>
      <c r="E62" s="16" t="s">
        <v>7</v>
      </c>
      <c r="F62" s="16" t="s">
        <v>13</v>
      </c>
      <c r="G62" s="16" t="s">
        <v>16</v>
      </c>
      <c r="H62" s="16" t="s">
        <v>23</v>
      </c>
      <c r="I62" s="16" t="s">
        <v>24</v>
      </c>
      <c r="J62" s="16" t="s">
        <v>25</v>
      </c>
      <c r="K62" s="16" t="s">
        <v>26</v>
      </c>
      <c r="L62" s="16" t="s">
        <v>27</v>
      </c>
      <c r="M62" s="16" t="s">
        <v>28</v>
      </c>
      <c r="N62" s="16" t="s">
        <v>11</v>
      </c>
    </row>
    <row r="63" spans="1:16" ht="15.75">
      <c r="A63" s="42" t="s">
        <v>1817</v>
      </c>
      <c r="B63" s="42">
        <v>0.25</v>
      </c>
      <c r="C63" t="s">
        <v>37</v>
      </c>
      <c r="D63" s="17" t="s">
        <v>2</v>
      </c>
      <c r="E63" t="s">
        <v>29</v>
      </c>
      <c r="F63" s="104" t="s">
        <v>14</v>
      </c>
      <c r="G63" t="s">
        <v>30</v>
      </c>
      <c r="H63">
        <v>1</v>
      </c>
      <c r="I63">
        <f>B63</f>
        <v>0.25</v>
      </c>
      <c r="J63" t="s">
        <v>31</v>
      </c>
      <c r="K63" t="s">
        <v>31</v>
      </c>
      <c r="L63" t="s">
        <v>31</v>
      </c>
      <c r="M63" t="s">
        <v>31</v>
      </c>
    </row>
    <row r="64" spans="1:16" ht="15.75">
      <c r="A64" s="42" t="s">
        <v>1815</v>
      </c>
      <c r="B64" s="42">
        <v>0.25</v>
      </c>
      <c r="C64" t="s">
        <v>37</v>
      </c>
      <c r="D64" s="17" t="s">
        <v>2</v>
      </c>
      <c r="E64" t="s">
        <v>29</v>
      </c>
      <c r="F64" s="104" t="s">
        <v>14</v>
      </c>
      <c r="G64" t="s">
        <v>33</v>
      </c>
      <c r="H64">
        <v>1</v>
      </c>
      <c r="I64">
        <f>B64</f>
        <v>0.25</v>
      </c>
      <c r="J64" t="s">
        <v>31</v>
      </c>
      <c r="K64" t="s">
        <v>31</v>
      </c>
      <c r="L64" t="s">
        <v>31</v>
      </c>
      <c r="M64" t="s">
        <v>31</v>
      </c>
    </row>
    <row r="65" spans="1:13" ht="15.75">
      <c r="A65" s="121" t="s">
        <v>877</v>
      </c>
      <c r="B65">
        <v>2.4E-2</v>
      </c>
      <c r="C65" t="s">
        <v>37</v>
      </c>
      <c r="D65" s="17" t="s">
        <v>40</v>
      </c>
      <c r="E65" t="s">
        <v>29</v>
      </c>
      <c r="F65" s="104" t="s">
        <v>128</v>
      </c>
      <c r="G65" t="s">
        <v>33</v>
      </c>
      <c r="H65">
        <v>1</v>
      </c>
      <c r="I65">
        <f t="shared" ref="I65:I67" si="2">B65</f>
        <v>2.4E-2</v>
      </c>
      <c r="J65" t="s">
        <v>31</v>
      </c>
      <c r="K65" t="s">
        <v>31</v>
      </c>
      <c r="L65" t="s">
        <v>31</v>
      </c>
      <c r="M65" t="s">
        <v>31</v>
      </c>
    </row>
    <row r="66" spans="1:13" ht="15.75">
      <c r="A66" s="121" t="s">
        <v>878</v>
      </c>
      <c r="B66">
        <v>0.55000000000000004</v>
      </c>
      <c r="C66" t="s">
        <v>113</v>
      </c>
      <c r="D66" s="17" t="s">
        <v>40</v>
      </c>
      <c r="E66" t="s">
        <v>29</v>
      </c>
      <c r="F66" s="104" t="s">
        <v>58</v>
      </c>
      <c r="G66" t="s">
        <v>33</v>
      </c>
      <c r="H66">
        <v>1</v>
      </c>
      <c r="I66">
        <f t="shared" si="2"/>
        <v>0.55000000000000004</v>
      </c>
      <c r="J66" t="s">
        <v>31</v>
      </c>
      <c r="K66" t="s">
        <v>31</v>
      </c>
      <c r="L66" t="s">
        <v>31</v>
      </c>
      <c r="M66" t="s">
        <v>31</v>
      </c>
    </row>
    <row r="67" spans="1:13" ht="15.75">
      <c r="A67" s="121" t="s">
        <v>593</v>
      </c>
      <c r="B67">
        <v>2.4E-2</v>
      </c>
      <c r="C67" t="s">
        <v>37</v>
      </c>
      <c r="D67" s="17" t="s">
        <v>40</v>
      </c>
      <c r="E67" t="s">
        <v>29</v>
      </c>
      <c r="F67" s="104" t="s">
        <v>58</v>
      </c>
      <c r="G67" t="s">
        <v>33</v>
      </c>
      <c r="H67">
        <v>1</v>
      </c>
      <c r="I67">
        <f t="shared" si="2"/>
        <v>2.4E-2</v>
      </c>
      <c r="J67" t="s">
        <v>31</v>
      </c>
      <c r="K67" t="s">
        <v>31</v>
      </c>
      <c r="L67" t="s">
        <v>31</v>
      </c>
      <c r="M67" t="s">
        <v>31</v>
      </c>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097D9-C2E7-4AC5-8372-B34DE49763B8}">
  <dimension ref="A1:T53"/>
  <sheetViews>
    <sheetView zoomScale="85" zoomScaleNormal="85" workbookViewId="0">
      <selection activeCell="B13" sqref="B13"/>
    </sheetView>
  </sheetViews>
  <sheetFormatPr defaultRowHeight="1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75">
      <c r="A2" s="99" t="s">
        <v>5</v>
      </c>
      <c r="B2" s="100" t="s">
        <v>1820</v>
      </c>
      <c r="C2" s="100"/>
      <c r="D2" s="39"/>
      <c r="E2" s="41"/>
      <c r="F2" s="41"/>
      <c r="G2" s="41"/>
      <c r="H2" s="41"/>
      <c r="I2" s="41"/>
      <c r="J2" s="41"/>
      <c r="K2" s="41"/>
      <c r="L2" s="41"/>
      <c r="M2" s="41"/>
      <c r="N2" s="41"/>
    </row>
    <row r="3" spans="1:17">
      <c r="A3" s="101" t="s">
        <v>7</v>
      </c>
      <c r="B3" t="s">
        <v>1807</v>
      </c>
      <c r="D3" s="102"/>
    </row>
    <row r="4" spans="1:17">
      <c r="A4" s="101" t="s">
        <v>9</v>
      </c>
      <c r="B4" t="s">
        <v>1821</v>
      </c>
      <c r="D4" s="102"/>
    </row>
    <row r="5" spans="1:17" ht="15" customHeight="1">
      <c r="A5" s="101" t="s">
        <v>11</v>
      </c>
      <c r="B5" s="103" t="s">
        <v>789</v>
      </c>
      <c r="C5" s="103"/>
    </row>
    <row r="6" spans="1:17">
      <c r="A6" s="101" t="s">
        <v>13</v>
      </c>
      <c r="B6" t="s">
        <v>14</v>
      </c>
      <c r="Q6" t="s">
        <v>1822</v>
      </c>
    </row>
    <row r="7" spans="1:17">
      <c r="A7" s="101" t="s">
        <v>15</v>
      </c>
      <c r="B7">
        <v>7.7843999999999997E-2</v>
      </c>
    </row>
    <row r="8" spans="1:17">
      <c r="A8" s="101" t="s">
        <v>16</v>
      </c>
      <c r="B8" t="s">
        <v>17</v>
      </c>
    </row>
    <row r="9" spans="1:17">
      <c r="A9" s="101" t="s">
        <v>18</v>
      </c>
      <c r="B9" t="s">
        <v>37</v>
      </c>
    </row>
    <row r="10" spans="1:17" ht="15.75">
      <c r="A10" s="105" t="s">
        <v>19</v>
      </c>
    </row>
    <row r="11" spans="1:17" ht="15.75">
      <c r="A11" s="105" t="s">
        <v>20</v>
      </c>
      <c r="B11" s="16" t="s">
        <v>21</v>
      </c>
      <c r="C11" s="122" t="s">
        <v>198</v>
      </c>
      <c r="D11" s="16" t="s">
        <v>18</v>
      </c>
      <c r="E11" s="16" t="s">
        <v>22</v>
      </c>
      <c r="F11" s="16" t="s">
        <v>7</v>
      </c>
      <c r="G11" s="16" t="s">
        <v>13</v>
      </c>
      <c r="H11" s="16" t="s">
        <v>16</v>
      </c>
      <c r="I11" s="16" t="s">
        <v>23</v>
      </c>
      <c r="J11" s="16" t="s">
        <v>24</v>
      </c>
      <c r="K11" s="16" t="s">
        <v>25</v>
      </c>
      <c r="L11" s="16" t="s">
        <v>26</v>
      </c>
      <c r="M11" s="16" t="s">
        <v>27</v>
      </c>
      <c r="N11" s="16" t="s">
        <v>28</v>
      </c>
      <c r="O11" s="16" t="s">
        <v>11</v>
      </c>
    </row>
    <row r="12" spans="1:17" ht="15.75">
      <c r="A12" s="106" t="s">
        <v>1820</v>
      </c>
      <c r="B12">
        <v>7.7843999999999997E-2</v>
      </c>
      <c r="D12" t="s">
        <v>37</v>
      </c>
      <c r="E12" s="17" t="s">
        <v>2</v>
      </c>
      <c r="F12" t="s">
        <v>29</v>
      </c>
      <c r="G12" s="104" t="s">
        <v>14</v>
      </c>
      <c r="H12" t="s">
        <v>30</v>
      </c>
      <c r="I12">
        <v>1</v>
      </c>
      <c r="J12">
        <f>B12</f>
        <v>7.7843999999999997E-2</v>
      </c>
      <c r="K12" t="s">
        <v>31</v>
      </c>
      <c r="L12" t="s">
        <v>31</v>
      </c>
      <c r="M12" t="s">
        <v>31</v>
      </c>
      <c r="N12" t="s">
        <v>31</v>
      </c>
    </row>
    <row r="13" spans="1:17" ht="15.75">
      <c r="A13" s="106" t="s">
        <v>1823</v>
      </c>
      <c r="B13">
        <v>1</v>
      </c>
      <c r="D13" t="s">
        <v>18</v>
      </c>
      <c r="E13" s="17" t="s">
        <v>2</v>
      </c>
      <c r="F13" t="s">
        <v>29</v>
      </c>
      <c r="G13" s="104" t="s">
        <v>14</v>
      </c>
      <c r="H13" t="s">
        <v>33</v>
      </c>
      <c r="I13">
        <v>1</v>
      </c>
      <c r="J13">
        <f>B13</f>
        <v>1</v>
      </c>
      <c r="K13" t="s">
        <v>31</v>
      </c>
      <c r="L13" t="s">
        <v>31</v>
      </c>
      <c r="M13" t="s">
        <v>31</v>
      </c>
      <c r="N13" t="s">
        <v>31</v>
      </c>
    </row>
    <row r="14" spans="1:17" ht="15.75">
      <c r="A14" s="106" t="s">
        <v>38</v>
      </c>
      <c r="B14">
        <v>1.02</v>
      </c>
      <c r="D14" t="s">
        <v>39</v>
      </c>
      <c r="E14" s="17" t="s">
        <v>40</v>
      </c>
      <c r="F14" t="s">
        <v>29</v>
      </c>
      <c r="G14" s="104" t="s">
        <v>14</v>
      </c>
      <c r="H14" t="s">
        <v>33</v>
      </c>
      <c r="I14">
        <v>2</v>
      </c>
      <c r="J14">
        <f>LN(B14)</f>
        <v>1.980262729617973E-2</v>
      </c>
      <c r="K14">
        <v>3.7749171999999998E-2</v>
      </c>
      <c r="L14" t="s">
        <v>31</v>
      </c>
      <c r="M14" t="s">
        <v>31</v>
      </c>
      <c r="N14" t="s">
        <v>31</v>
      </c>
    </row>
    <row r="15" spans="1:17" ht="15.75">
      <c r="A15" s="106" t="s">
        <v>791</v>
      </c>
      <c r="B15">
        <f>1.4/1000</f>
        <v>1.4E-3</v>
      </c>
      <c r="D15" t="s">
        <v>37</v>
      </c>
      <c r="E15" s="17" t="s">
        <v>40</v>
      </c>
      <c r="F15" t="s">
        <v>29</v>
      </c>
      <c r="G15" s="104" t="s">
        <v>35</v>
      </c>
      <c r="H15" t="s">
        <v>33</v>
      </c>
      <c r="I15">
        <v>2</v>
      </c>
      <c r="J15">
        <f t="shared" ref="J15:J27" si="0">LN(B15)</f>
        <v>-6.5712830423609239</v>
      </c>
      <c r="K15">
        <v>3.7749171999999998E-2</v>
      </c>
      <c r="L15" t="s">
        <v>31</v>
      </c>
      <c r="M15" t="s">
        <v>31</v>
      </c>
      <c r="N15" t="s">
        <v>31</v>
      </c>
    </row>
    <row r="16" spans="1:17" ht="15.75">
      <c r="A16" s="106" t="s">
        <v>546</v>
      </c>
      <c r="B16">
        <f>0.2/1000</f>
        <v>2.0000000000000001E-4</v>
      </c>
      <c r="D16" t="s">
        <v>37</v>
      </c>
      <c r="E16" s="17" t="s">
        <v>40</v>
      </c>
      <c r="F16" t="s">
        <v>29</v>
      </c>
      <c r="G16" s="104" t="s">
        <v>58</v>
      </c>
      <c r="H16" t="s">
        <v>33</v>
      </c>
      <c r="I16">
        <v>2</v>
      </c>
      <c r="J16">
        <f t="shared" si="0"/>
        <v>-8.5171931914162382</v>
      </c>
      <c r="K16">
        <v>3.7749171999999998E-2</v>
      </c>
      <c r="L16" t="s">
        <v>31</v>
      </c>
      <c r="M16" t="s">
        <v>31</v>
      </c>
      <c r="N16" t="s">
        <v>31</v>
      </c>
    </row>
    <row r="17" spans="1:17" ht="15.75">
      <c r="A17" s="106" t="s">
        <v>792</v>
      </c>
      <c r="B17">
        <f>7.1/1000</f>
        <v>7.0999999999999995E-3</v>
      </c>
      <c r="D17" t="s">
        <v>37</v>
      </c>
      <c r="E17" s="17" t="s">
        <v>40</v>
      </c>
      <c r="F17" t="s">
        <v>29</v>
      </c>
      <c r="G17" s="104" t="s">
        <v>741</v>
      </c>
      <c r="H17" t="s">
        <v>33</v>
      </c>
      <c r="I17">
        <v>2</v>
      </c>
      <c r="J17">
        <f t="shared" si="0"/>
        <v>-4.9476604949348673</v>
      </c>
      <c r="K17">
        <v>3.7749171999999998E-2</v>
      </c>
      <c r="L17" t="s">
        <v>31</v>
      </c>
      <c r="M17" t="s">
        <v>31</v>
      </c>
      <c r="N17" t="s">
        <v>31</v>
      </c>
    </row>
    <row r="18" spans="1:17" ht="15.75">
      <c r="A18" s="106" t="s">
        <v>480</v>
      </c>
      <c r="B18">
        <v>1.4</v>
      </c>
      <c r="D18" t="s">
        <v>37</v>
      </c>
      <c r="E18" s="17" t="s">
        <v>40</v>
      </c>
      <c r="F18" t="s">
        <v>29</v>
      </c>
      <c r="G18" s="104" t="s">
        <v>35</v>
      </c>
      <c r="H18" t="s">
        <v>33</v>
      </c>
      <c r="I18">
        <v>2</v>
      </c>
      <c r="J18">
        <f t="shared" si="0"/>
        <v>0.33647223662121289</v>
      </c>
      <c r="K18">
        <v>3.7749171999999998E-2</v>
      </c>
      <c r="L18" t="s">
        <v>31</v>
      </c>
      <c r="M18" t="s">
        <v>31</v>
      </c>
      <c r="N18" t="s">
        <v>31</v>
      </c>
    </row>
    <row r="19" spans="1:17" ht="15.75">
      <c r="A19" s="106" t="s">
        <v>793</v>
      </c>
      <c r="B19">
        <v>2E-3</v>
      </c>
      <c r="D19" t="s">
        <v>37</v>
      </c>
      <c r="E19" s="17" t="s">
        <v>40</v>
      </c>
      <c r="F19" t="s">
        <v>29</v>
      </c>
      <c r="G19" s="104" t="s">
        <v>58</v>
      </c>
      <c r="H19" t="s">
        <v>33</v>
      </c>
      <c r="I19">
        <v>2</v>
      </c>
      <c r="J19">
        <f t="shared" si="0"/>
        <v>-6.2146080984221914</v>
      </c>
      <c r="K19">
        <v>3.7749171999999998E-2</v>
      </c>
      <c r="L19" t="s">
        <v>31</v>
      </c>
      <c r="M19" t="s">
        <v>31</v>
      </c>
      <c r="N19" t="s">
        <v>31</v>
      </c>
    </row>
    <row r="20" spans="1:17" ht="15.75">
      <c r="A20" s="106" t="s">
        <v>794</v>
      </c>
      <c r="B20">
        <v>3.0000000000000001E-3</v>
      </c>
      <c r="D20" t="s">
        <v>37</v>
      </c>
      <c r="E20" s="17" t="s">
        <v>40</v>
      </c>
      <c r="F20" t="s">
        <v>29</v>
      </c>
      <c r="G20" s="104" t="s">
        <v>58</v>
      </c>
      <c r="H20" t="s">
        <v>33</v>
      </c>
      <c r="I20">
        <v>2</v>
      </c>
      <c r="J20">
        <f t="shared" si="0"/>
        <v>-5.8091429903140277</v>
      </c>
      <c r="K20">
        <v>3.7749171999999998E-2</v>
      </c>
      <c r="L20" t="s">
        <v>31</v>
      </c>
      <c r="M20" t="s">
        <v>31</v>
      </c>
      <c r="N20" t="s">
        <v>31</v>
      </c>
    </row>
    <row r="21" spans="1:17" ht="15.75">
      <c r="A21" s="106" t="s">
        <v>795</v>
      </c>
      <c r="B21">
        <v>2.9999999999999997E-4</v>
      </c>
      <c r="D21" t="s">
        <v>37</v>
      </c>
      <c r="E21" s="17" t="s">
        <v>40</v>
      </c>
      <c r="F21" t="s">
        <v>29</v>
      </c>
      <c r="G21" s="104" t="s">
        <v>35</v>
      </c>
      <c r="H21" t="s">
        <v>33</v>
      </c>
      <c r="I21">
        <v>2</v>
      </c>
      <c r="J21">
        <f t="shared" si="0"/>
        <v>-8.1117280833080727</v>
      </c>
      <c r="K21">
        <v>3.7749171999999998E-2</v>
      </c>
      <c r="L21" t="s">
        <v>31</v>
      </c>
      <c r="M21" t="s">
        <v>31</v>
      </c>
      <c r="N21" t="s">
        <v>31</v>
      </c>
    </row>
    <row r="22" spans="1:17" ht="15.75">
      <c r="A22" s="106" t="s">
        <v>796</v>
      </c>
      <c r="B22">
        <v>1.5E-3</v>
      </c>
      <c r="D22" t="s">
        <v>37</v>
      </c>
      <c r="E22" s="17" t="s">
        <v>40</v>
      </c>
      <c r="F22" t="s">
        <v>29</v>
      </c>
      <c r="G22" s="104" t="s">
        <v>58</v>
      </c>
      <c r="H22" t="s">
        <v>33</v>
      </c>
      <c r="I22">
        <v>2</v>
      </c>
      <c r="J22">
        <f t="shared" si="0"/>
        <v>-6.5022901708739722</v>
      </c>
      <c r="K22">
        <v>3.7749171999999998E-2</v>
      </c>
      <c r="L22" t="s">
        <v>31</v>
      </c>
      <c r="M22" t="s">
        <v>31</v>
      </c>
      <c r="N22" t="s">
        <v>31</v>
      </c>
    </row>
    <row r="23" spans="1:17" ht="15.75">
      <c r="A23" s="106" t="s">
        <v>797</v>
      </c>
      <c r="B23">
        <v>5.0000000000000001E-4</v>
      </c>
      <c r="D23" t="s">
        <v>37</v>
      </c>
      <c r="E23" s="17" t="s">
        <v>40</v>
      </c>
      <c r="F23" t="s">
        <v>29</v>
      </c>
      <c r="G23" s="104" t="s">
        <v>35</v>
      </c>
      <c r="H23" t="s">
        <v>33</v>
      </c>
      <c r="I23">
        <v>2</v>
      </c>
      <c r="J23">
        <f t="shared" si="0"/>
        <v>-7.6009024595420822</v>
      </c>
      <c r="K23">
        <v>3.7749171999999998E-2</v>
      </c>
      <c r="L23" t="s">
        <v>31</v>
      </c>
      <c r="M23" t="s">
        <v>31</v>
      </c>
      <c r="N23" t="s">
        <v>31</v>
      </c>
    </row>
    <row r="24" spans="1:17" ht="15.75">
      <c r="A24" s="106" t="s">
        <v>798</v>
      </c>
      <c r="B24">
        <v>8.9999999999999992E-5</v>
      </c>
      <c r="D24" t="s">
        <v>37</v>
      </c>
      <c r="E24" s="17" t="s">
        <v>43</v>
      </c>
      <c r="F24" t="s">
        <v>44</v>
      </c>
      <c r="G24" s="104" t="s">
        <v>29</v>
      </c>
      <c r="H24" t="s">
        <v>45</v>
      </c>
      <c r="I24">
        <v>2</v>
      </c>
      <c r="J24">
        <f t="shared" si="0"/>
        <v>-9.3157008876340086</v>
      </c>
      <c r="K24">
        <v>3.7749171999999998E-2</v>
      </c>
      <c r="L24" t="s">
        <v>31</v>
      </c>
      <c r="M24" t="s">
        <v>31</v>
      </c>
      <c r="N24" t="s">
        <v>31</v>
      </c>
    </row>
    <row r="25" spans="1:17" ht="15.75">
      <c r="A25" s="106" t="s">
        <v>760</v>
      </c>
      <c r="B25">
        <v>3.3999999999999998E-3</v>
      </c>
      <c r="D25" t="s">
        <v>37</v>
      </c>
      <c r="E25" s="17" t="s">
        <v>43</v>
      </c>
      <c r="F25" t="s">
        <v>44</v>
      </c>
      <c r="G25" s="104" t="s">
        <v>29</v>
      </c>
      <c r="H25" t="s">
        <v>45</v>
      </c>
      <c r="I25">
        <v>2</v>
      </c>
      <c r="J25">
        <f t="shared" si="0"/>
        <v>-5.6839798473600212</v>
      </c>
      <c r="K25">
        <v>3.7749171999999998E-2</v>
      </c>
      <c r="L25" t="s">
        <v>31</v>
      </c>
      <c r="M25" t="s">
        <v>31</v>
      </c>
      <c r="N25" t="s">
        <v>31</v>
      </c>
    </row>
    <row r="26" spans="1:17" ht="15.75">
      <c r="A26" s="17" t="s">
        <v>1808</v>
      </c>
      <c r="B26">
        <v>1.4E-3</v>
      </c>
      <c r="D26" t="s">
        <v>37</v>
      </c>
      <c r="E26" s="17" t="s">
        <v>2</v>
      </c>
      <c r="F26" t="s">
        <v>29</v>
      </c>
      <c r="G26" s="104" t="s">
        <v>741</v>
      </c>
      <c r="H26" t="s">
        <v>33</v>
      </c>
      <c r="I26">
        <v>2</v>
      </c>
      <c r="J26">
        <f t="shared" si="0"/>
        <v>-6.5712830423609239</v>
      </c>
      <c r="K26">
        <v>3.7749171999999998E-2</v>
      </c>
      <c r="L26" t="s">
        <v>31</v>
      </c>
      <c r="M26" t="s">
        <v>31</v>
      </c>
      <c r="N26" t="s">
        <v>31</v>
      </c>
    </row>
    <row r="27" spans="1:17" ht="15.75">
      <c r="A27" s="17" t="s">
        <v>1810</v>
      </c>
      <c r="B27">
        <v>6.0000000000000002E-5</v>
      </c>
      <c r="D27" t="s">
        <v>37</v>
      </c>
      <c r="E27" s="17" t="s">
        <v>2</v>
      </c>
      <c r="F27" t="s">
        <v>29</v>
      </c>
      <c r="G27" t="s">
        <v>741</v>
      </c>
      <c r="H27" t="s">
        <v>33</v>
      </c>
      <c r="I27">
        <v>2</v>
      </c>
      <c r="J27">
        <f t="shared" si="0"/>
        <v>-9.7211659957421741</v>
      </c>
      <c r="K27">
        <v>3.7749171999999998E-2</v>
      </c>
      <c r="L27" t="s">
        <v>31</v>
      </c>
      <c r="M27" t="s">
        <v>31</v>
      </c>
      <c r="N27" t="s">
        <v>31</v>
      </c>
    </row>
    <row r="28" spans="1:17" ht="15.75">
      <c r="A28" s="99" t="s">
        <v>5</v>
      </c>
      <c r="B28" s="100" t="s">
        <v>1823</v>
      </c>
      <c r="C28" s="100"/>
      <c r="D28" s="39"/>
      <c r="E28" s="41"/>
      <c r="F28" s="41"/>
      <c r="G28" s="41"/>
      <c r="H28" s="41"/>
      <c r="I28" s="41"/>
      <c r="J28" s="41"/>
      <c r="K28" s="41"/>
      <c r="L28" s="41"/>
      <c r="M28" s="41"/>
      <c r="N28" s="41"/>
    </row>
    <row r="29" spans="1:17">
      <c r="A29" s="101" t="s">
        <v>7</v>
      </c>
      <c r="B29" t="s">
        <v>1807</v>
      </c>
      <c r="D29" s="102"/>
      <c r="Q29" t="s">
        <v>1822</v>
      </c>
    </row>
    <row r="30" spans="1:17">
      <c r="A30" s="101" t="s">
        <v>9</v>
      </c>
      <c r="B30" t="s">
        <v>1824</v>
      </c>
      <c r="D30" s="102"/>
    </row>
    <row r="31" spans="1:17" ht="15.75" customHeight="1">
      <c r="A31" s="101" t="s">
        <v>11</v>
      </c>
      <c r="B31" s="103" t="s">
        <v>789</v>
      </c>
      <c r="C31" s="103"/>
    </row>
    <row r="32" spans="1:17">
      <c r="A32" s="101" t="s">
        <v>13</v>
      </c>
      <c r="B32" t="s">
        <v>14</v>
      </c>
    </row>
    <row r="33" spans="1:20">
      <c r="A33" s="101" t="s">
        <v>15</v>
      </c>
      <c r="B33">
        <v>1</v>
      </c>
    </row>
    <row r="34" spans="1:20">
      <c r="A34" s="101" t="s">
        <v>16</v>
      </c>
      <c r="B34" t="s">
        <v>17</v>
      </c>
    </row>
    <row r="35" spans="1:20">
      <c r="A35" s="101" t="s">
        <v>18</v>
      </c>
      <c r="B35" t="s">
        <v>18</v>
      </c>
    </row>
    <row r="36" spans="1:20" ht="15.75">
      <c r="A36" s="105" t="s">
        <v>19</v>
      </c>
    </row>
    <row r="37" spans="1:20" ht="15.75">
      <c r="A37" s="105" t="s">
        <v>20</v>
      </c>
      <c r="B37" s="16" t="s">
        <v>21</v>
      </c>
      <c r="C37" s="122" t="s">
        <v>198</v>
      </c>
      <c r="D37" s="16" t="s">
        <v>18</v>
      </c>
      <c r="E37" s="16" t="s">
        <v>22</v>
      </c>
      <c r="F37" s="16" t="s">
        <v>7</v>
      </c>
      <c r="G37" s="16" t="s">
        <v>13</v>
      </c>
      <c r="H37" s="16" t="s">
        <v>16</v>
      </c>
      <c r="I37" s="16" t="s">
        <v>23</v>
      </c>
      <c r="J37" s="16" t="s">
        <v>24</v>
      </c>
      <c r="K37" s="16" t="s">
        <v>25</v>
      </c>
      <c r="L37" s="16" t="s">
        <v>26</v>
      </c>
      <c r="M37" s="16" t="s">
        <v>27</v>
      </c>
      <c r="N37" s="16" t="s">
        <v>28</v>
      </c>
      <c r="O37" s="16" t="s">
        <v>11</v>
      </c>
    </row>
    <row r="38" spans="1:20" ht="15.75">
      <c r="A38" s="106" t="s">
        <v>1823</v>
      </c>
      <c r="B38">
        <v>1</v>
      </c>
      <c r="D38" t="s">
        <v>18</v>
      </c>
      <c r="E38" s="17" t="s">
        <v>2</v>
      </c>
      <c r="F38" t="s">
        <v>29</v>
      </c>
      <c r="G38" s="104" t="s">
        <v>14</v>
      </c>
      <c r="H38" t="s">
        <v>30</v>
      </c>
      <c r="I38">
        <v>1</v>
      </c>
      <c r="J38">
        <f>B38</f>
        <v>1</v>
      </c>
      <c r="K38" t="s">
        <v>31</v>
      </c>
      <c r="L38" t="s">
        <v>31</v>
      </c>
      <c r="M38" t="s">
        <v>31</v>
      </c>
      <c r="N38" t="s">
        <v>31</v>
      </c>
    </row>
    <row r="39" spans="1:20" ht="15.75">
      <c r="A39" s="106" t="s">
        <v>800</v>
      </c>
      <c r="B39">
        <f>T39</f>
        <v>1.4999999999999999E-2</v>
      </c>
      <c r="D39" t="s">
        <v>113</v>
      </c>
      <c r="E39" s="17" t="s">
        <v>40</v>
      </c>
      <c r="F39" t="s">
        <v>29</v>
      </c>
      <c r="G39" s="104" t="s">
        <v>58</v>
      </c>
      <c r="H39" t="s">
        <v>33</v>
      </c>
      <c r="I39">
        <v>2</v>
      </c>
      <c r="J39">
        <f>LN(B39)</f>
        <v>-4.1997050778799272</v>
      </c>
      <c r="K39">
        <v>2.8722813232690055E-2</v>
      </c>
      <c r="L39" t="s">
        <v>31</v>
      </c>
      <c r="M39" t="s">
        <v>31</v>
      </c>
      <c r="N39" t="s">
        <v>31</v>
      </c>
      <c r="Q39" s="123" t="s">
        <v>801</v>
      </c>
      <c r="R39" s="124">
        <v>1.5</v>
      </c>
      <c r="S39" t="s">
        <v>605</v>
      </c>
      <c r="T39">
        <f>R39*0.01</f>
        <v>1.4999999999999999E-2</v>
      </c>
    </row>
    <row r="40" spans="1:20" ht="15.75">
      <c r="A40" s="106" t="s">
        <v>802</v>
      </c>
      <c r="B40">
        <f>T40</f>
        <v>2.8E-3</v>
      </c>
      <c r="D40" t="s">
        <v>37</v>
      </c>
      <c r="E40" s="17" t="s">
        <v>40</v>
      </c>
      <c r="F40" t="s">
        <v>29</v>
      </c>
      <c r="G40" s="104" t="s">
        <v>58</v>
      </c>
      <c r="H40" t="s">
        <v>33</v>
      </c>
      <c r="I40">
        <v>2</v>
      </c>
      <c r="J40">
        <f t="shared" ref="J40:J50" si="1">LN(B40)</f>
        <v>-5.8781358618009785</v>
      </c>
      <c r="K40">
        <v>2.8722813232690055E-2</v>
      </c>
      <c r="L40" t="s">
        <v>31</v>
      </c>
      <c r="M40" t="s">
        <v>31</v>
      </c>
      <c r="N40" t="s">
        <v>31</v>
      </c>
      <c r="Q40" s="125" t="s">
        <v>575</v>
      </c>
      <c r="R40" s="126">
        <v>2.8</v>
      </c>
      <c r="S40" t="s">
        <v>221</v>
      </c>
      <c r="T40">
        <f>R40*0.001</f>
        <v>2.8E-3</v>
      </c>
    </row>
    <row r="41" spans="1:20" ht="15.75">
      <c r="A41" s="106" t="s">
        <v>803</v>
      </c>
      <c r="B41">
        <f t="shared" ref="B41:B50" si="2">T41</f>
        <v>2.2000000000000001E-3</v>
      </c>
      <c r="D41" t="s">
        <v>37</v>
      </c>
      <c r="E41" s="17" t="s">
        <v>40</v>
      </c>
      <c r="F41" t="s">
        <v>29</v>
      </c>
      <c r="G41" s="104" t="s">
        <v>58</v>
      </c>
      <c r="H41" t="s">
        <v>33</v>
      </c>
      <c r="I41">
        <v>2</v>
      </c>
      <c r="J41">
        <f t="shared" si="1"/>
        <v>-6.1192979186178666</v>
      </c>
      <c r="K41">
        <v>2.8722813232690055E-2</v>
      </c>
      <c r="L41" t="s">
        <v>31</v>
      </c>
      <c r="M41" t="s">
        <v>31</v>
      </c>
      <c r="N41" t="s">
        <v>31</v>
      </c>
      <c r="Q41" s="123" t="s">
        <v>575</v>
      </c>
      <c r="R41" s="124">
        <v>2.2000000000000002</v>
      </c>
      <c r="S41" t="s">
        <v>221</v>
      </c>
      <c r="T41">
        <f t="shared" ref="T41:T50" si="3">R41*0.001</f>
        <v>2.2000000000000001E-3</v>
      </c>
    </row>
    <row r="42" spans="1:20" ht="15.75">
      <c r="A42" s="106" t="s">
        <v>804</v>
      </c>
      <c r="B42">
        <f t="shared" si="2"/>
        <v>2.2000000000000001E-3</v>
      </c>
      <c r="D42" t="s">
        <v>37</v>
      </c>
      <c r="E42" s="17" t="s">
        <v>40</v>
      </c>
      <c r="F42" t="s">
        <v>29</v>
      </c>
      <c r="G42" s="104" t="s">
        <v>58</v>
      </c>
      <c r="H42" t="s">
        <v>33</v>
      </c>
      <c r="I42">
        <v>2</v>
      </c>
      <c r="J42">
        <f t="shared" si="1"/>
        <v>-6.1192979186178666</v>
      </c>
      <c r="K42">
        <v>2.8722813232690055E-2</v>
      </c>
      <c r="L42" t="s">
        <v>31</v>
      </c>
      <c r="M42" t="s">
        <v>31</v>
      </c>
      <c r="N42" t="s">
        <v>31</v>
      </c>
      <c r="Q42" s="125" t="s">
        <v>575</v>
      </c>
      <c r="R42" s="126">
        <v>2.2000000000000002</v>
      </c>
      <c r="S42" t="s">
        <v>221</v>
      </c>
      <c r="T42">
        <f t="shared" si="3"/>
        <v>2.2000000000000001E-3</v>
      </c>
    </row>
    <row r="43" spans="1:20" ht="15.75">
      <c r="A43" s="106" t="s">
        <v>805</v>
      </c>
      <c r="B43">
        <f t="shared" si="2"/>
        <v>1.8000000000000002E-2</v>
      </c>
      <c r="D43" t="s">
        <v>37</v>
      </c>
      <c r="E43" s="17" t="s">
        <v>40</v>
      </c>
      <c r="F43" t="s">
        <v>29</v>
      </c>
      <c r="G43" s="104" t="s">
        <v>58</v>
      </c>
      <c r="H43" t="s">
        <v>33</v>
      </c>
      <c r="I43">
        <v>2</v>
      </c>
      <c r="J43">
        <f t="shared" si="1"/>
        <v>-4.0173835210859723</v>
      </c>
      <c r="K43">
        <v>2.8722813232690055E-2</v>
      </c>
      <c r="L43" t="s">
        <v>31</v>
      </c>
      <c r="M43" t="s">
        <v>31</v>
      </c>
      <c r="N43" t="s">
        <v>31</v>
      </c>
      <c r="Q43" s="123" t="s">
        <v>575</v>
      </c>
      <c r="R43" s="127">
        <v>18</v>
      </c>
      <c r="S43" t="s">
        <v>221</v>
      </c>
      <c r="T43">
        <f t="shared" si="3"/>
        <v>1.8000000000000002E-2</v>
      </c>
    </row>
    <row r="44" spans="1:20" ht="15.75">
      <c r="A44" s="106" t="s">
        <v>806</v>
      </c>
      <c r="B44">
        <f t="shared" si="2"/>
        <v>9.0000000000000002E-6</v>
      </c>
      <c r="D44" t="s">
        <v>37</v>
      </c>
      <c r="E44" s="17" t="s">
        <v>40</v>
      </c>
      <c r="F44" t="s">
        <v>29</v>
      </c>
      <c r="G44" s="104" t="s">
        <v>58</v>
      </c>
      <c r="H44" t="s">
        <v>33</v>
      </c>
      <c r="I44">
        <v>2</v>
      </c>
      <c r="J44">
        <f t="shared" si="1"/>
        <v>-11.618285980628055</v>
      </c>
      <c r="K44">
        <v>2.8722813232690055E-2</v>
      </c>
      <c r="L44" t="s">
        <v>31</v>
      </c>
      <c r="M44" t="s">
        <v>31</v>
      </c>
      <c r="N44" t="s">
        <v>31</v>
      </c>
      <c r="Q44" s="125" t="s">
        <v>523</v>
      </c>
      <c r="R44" s="126">
        <v>9</v>
      </c>
      <c r="S44" t="s">
        <v>221</v>
      </c>
      <c r="T44">
        <f>R44*0.000001</f>
        <v>9.0000000000000002E-6</v>
      </c>
    </row>
    <row r="45" spans="1:20" ht="15.75">
      <c r="A45" s="106" t="s">
        <v>807</v>
      </c>
      <c r="B45">
        <f t="shared" si="2"/>
        <v>3.8E-3</v>
      </c>
      <c r="D45" t="s">
        <v>37</v>
      </c>
      <c r="E45" s="17" t="s">
        <v>40</v>
      </c>
      <c r="F45" t="s">
        <v>29</v>
      </c>
      <c r="G45" s="104" t="s">
        <v>58</v>
      </c>
      <c r="H45" t="s">
        <v>33</v>
      </c>
      <c r="I45">
        <v>2</v>
      </c>
      <c r="J45">
        <f t="shared" si="1"/>
        <v>-5.5727542122497971</v>
      </c>
      <c r="K45">
        <v>2.8722813232690055E-2</v>
      </c>
      <c r="L45" t="s">
        <v>31</v>
      </c>
      <c r="M45" t="s">
        <v>31</v>
      </c>
      <c r="N45" t="s">
        <v>31</v>
      </c>
      <c r="Q45" s="123" t="s">
        <v>575</v>
      </c>
      <c r="R45" s="124">
        <v>3.8</v>
      </c>
      <c r="S45" t="s">
        <v>221</v>
      </c>
      <c r="T45">
        <f t="shared" si="3"/>
        <v>3.8E-3</v>
      </c>
    </row>
    <row r="46" spans="1:20" ht="15.75">
      <c r="A46" s="106" t="s">
        <v>808</v>
      </c>
      <c r="B46">
        <f t="shared" si="2"/>
        <v>3.7000000000000002E-3</v>
      </c>
      <c r="D46" t="s">
        <v>37</v>
      </c>
      <c r="E46" s="17" t="s">
        <v>40</v>
      </c>
      <c r="F46" t="s">
        <v>29</v>
      </c>
      <c r="G46" s="104" t="s">
        <v>58</v>
      </c>
      <c r="H46" t="s">
        <v>33</v>
      </c>
      <c r="I46">
        <v>2</v>
      </c>
      <c r="J46">
        <f t="shared" si="1"/>
        <v>-5.5994224593319579</v>
      </c>
      <c r="K46">
        <v>2.8722813232690055E-2</v>
      </c>
      <c r="L46" t="s">
        <v>31</v>
      </c>
      <c r="M46" t="s">
        <v>31</v>
      </c>
      <c r="N46" t="s">
        <v>31</v>
      </c>
      <c r="Q46" s="125" t="s">
        <v>575</v>
      </c>
      <c r="R46" s="126">
        <v>3.7</v>
      </c>
      <c r="S46" t="s">
        <v>221</v>
      </c>
      <c r="T46">
        <f t="shared" si="3"/>
        <v>3.7000000000000002E-3</v>
      </c>
    </row>
    <row r="47" spans="1:20" ht="15.75">
      <c r="A47" s="106" t="s">
        <v>809</v>
      </c>
      <c r="B47">
        <f t="shared" si="2"/>
        <v>3.4999999999999997E-5</v>
      </c>
      <c r="D47" t="s">
        <v>37</v>
      </c>
      <c r="E47" s="17" t="s">
        <v>40</v>
      </c>
      <c r="F47" t="s">
        <v>29</v>
      </c>
      <c r="G47" s="104" t="s">
        <v>58</v>
      </c>
      <c r="H47" t="s">
        <v>33</v>
      </c>
      <c r="I47">
        <v>2</v>
      </c>
      <c r="J47">
        <f t="shared" si="1"/>
        <v>-10.260162496474861</v>
      </c>
      <c r="K47">
        <v>2.8722813232690055E-2</v>
      </c>
      <c r="L47" t="s">
        <v>31</v>
      </c>
      <c r="M47" t="s">
        <v>31</v>
      </c>
      <c r="N47" t="s">
        <v>31</v>
      </c>
      <c r="Q47" s="123" t="s">
        <v>523</v>
      </c>
      <c r="R47" s="128">
        <v>35</v>
      </c>
      <c r="S47" t="s">
        <v>221</v>
      </c>
      <c r="T47">
        <f>R47*0.000001</f>
        <v>3.4999999999999997E-5</v>
      </c>
    </row>
    <row r="48" spans="1:20" ht="15.75">
      <c r="A48" s="106" t="s">
        <v>810</v>
      </c>
      <c r="B48">
        <f t="shared" si="2"/>
        <v>1E-3</v>
      </c>
      <c r="D48" t="s">
        <v>37</v>
      </c>
      <c r="E48" s="17" t="s">
        <v>40</v>
      </c>
      <c r="F48" t="s">
        <v>29</v>
      </c>
      <c r="G48" s="104" t="s">
        <v>58</v>
      </c>
      <c r="H48" t="s">
        <v>33</v>
      </c>
      <c r="I48">
        <v>2</v>
      </c>
      <c r="J48">
        <f t="shared" si="1"/>
        <v>-6.9077552789821368</v>
      </c>
      <c r="K48">
        <v>2.8722813232690055E-2</v>
      </c>
      <c r="L48" t="s">
        <v>31</v>
      </c>
      <c r="M48" t="s">
        <v>31</v>
      </c>
      <c r="N48" t="s">
        <v>31</v>
      </c>
      <c r="Q48" s="125" t="s">
        <v>575</v>
      </c>
      <c r="R48" s="126">
        <v>1</v>
      </c>
      <c r="S48" t="s">
        <v>221</v>
      </c>
      <c r="T48">
        <f t="shared" si="3"/>
        <v>1E-3</v>
      </c>
    </row>
    <row r="49" spans="1:20" ht="15.75">
      <c r="A49" s="106" t="s">
        <v>811</v>
      </c>
      <c r="B49">
        <f t="shared" si="2"/>
        <v>0.03</v>
      </c>
      <c r="D49" t="s">
        <v>37</v>
      </c>
      <c r="E49" s="17" t="s">
        <v>40</v>
      </c>
      <c r="F49" t="s">
        <v>29</v>
      </c>
      <c r="G49" s="104" t="s">
        <v>58</v>
      </c>
      <c r="H49" t="s">
        <v>33</v>
      </c>
      <c r="I49">
        <v>2</v>
      </c>
      <c r="J49">
        <f t="shared" si="1"/>
        <v>-3.5065578973199818</v>
      </c>
      <c r="K49">
        <v>2.8722813232690055E-2</v>
      </c>
      <c r="L49" t="s">
        <v>31</v>
      </c>
      <c r="M49" t="s">
        <v>31</v>
      </c>
      <c r="N49" t="s">
        <v>31</v>
      </c>
      <c r="Q49" s="123" t="s">
        <v>575</v>
      </c>
      <c r="R49" s="128">
        <v>30</v>
      </c>
      <c r="S49" t="s">
        <v>221</v>
      </c>
      <c r="T49">
        <f t="shared" si="3"/>
        <v>0.03</v>
      </c>
    </row>
    <row r="50" spans="1:20" ht="15.75">
      <c r="A50" s="106" t="s">
        <v>812</v>
      </c>
      <c r="B50">
        <f t="shared" si="2"/>
        <v>1.3000000000000002E-3</v>
      </c>
      <c r="D50" t="s">
        <v>37</v>
      </c>
      <c r="E50" s="17" t="s">
        <v>40</v>
      </c>
      <c r="F50" t="s">
        <v>29</v>
      </c>
      <c r="G50" s="104" t="s">
        <v>58</v>
      </c>
      <c r="H50" t="s">
        <v>33</v>
      </c>
      <c r="I50">
        <v>2</v>
      </c>
      <c r="J50">
        <f t="shared" si="1"/>
        <v>-6.6453910145146455</v>
      </c>
      <c r="K50">
        <v>2.8722813232690055E-2</v>
      </c>
      <c r="L50" t="s">
        <v>31</v>
      </c>
      <c r="M50" t="s">
        <v>31</v>
      </c>
      <c r="N50" t="s">
        <v>31</v>
      </c>
      <c r="Q50" s="125" t="s">
        <v>575</v>
      </c>
      <c r="R50" s="126">
        <v>1.3</v>
      </c>
      <c r="S50" t="s">
        <v>221</v>
      </c>
      <c r="T50">
        <f t="shared" si="3"/>
        <v>1.3000000000000002E-3</v>
      </c>
    </row>
    <row r="51" spans="1:20" ht="15.75">
      <c r="A51" s="106"/>
      <c r="E51" s="17"/>
      <c r="G51" s="104"/>
    </row>
    <row r="52" spans="1:20" ht="15.75">
      <c r="A52" s="17"/>
      <c r="E52" s="17"/>
      <c r="G52" s="104"/>
    </row>
    <row r="53" spans="1:20" ht="15.75">
      <c r="A53" s="17"/>
      <c r="E53" s="17"/>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17CC2-4E7B-4AEC-B38A-278DDF0F65DE}">
  <sheetPr>
    <tabColor theme="6" tint="0.79998168889431442"/>
  </sheetPr>
  <dimension ref="A1:T75"/>
  <sheetViews>
    <sheetView zoomScale="85" zoomScaleNormal="85" workbookViewId="0">
      <selection activeCell="B13" sqref="B13"/>
    </sheetView>
  </sheetViews>
  <sheetFormatPr defaultRowHeight="1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75">
      <c r="A2" s="99" t="s">
        <v>5</v>
      </c>
      <c r="B2" s="100" t="s">
        <v>1825</v>
      </c>
      <c r="C2" s="100"/>
      <c r="D2" s="39"/>
      <c r="E2" s="41"/>
      <c r="F2" s="41"/>
      <c r="G2" s="41"/>
      <c r="H2" s="41"/>
      <c r="I2" s="41"/>
      <c r="J2" s="41"/>
      <c r="K2" s="41"/>
      <c r="L2" s="41"/>
      <c r="M2" s="41"/>
      <c r="N2" s="41"/>
    </row>
    <row r="3" spans="1:20">
      <c r="A3" s="101" t="s">
        <v>7</v>
      </c>
      <c r="B3" t="s">
        <v>1807</v>
      </c>
      <c r="D3" s="102"/>
      <c r="Q3" t="s">
        <v>1822</v>
      </c>
    </row>
    <row r="4" spans="1:20">
      <c r="A4" s="101" t="s">
        <v>9</v>
      </c>
      <c r="B4" s="22" t="s">
        <v>1826</v>
      </c>
      <c r="C4" s="22"/>
      <c r="D4" s="102"/>
    </row>
    <row r="5" spans="1:20" ht="16.5" customHeight="1">
      <c r="A5" s="101" t="s">
        <v>11</v>
      </c>
      <c r="B5" s="103" t="s">
        <v>789</v>
      </c>
      <c r="C5" s="103"/>
    </row>
    <row r="6" spans="1:20">
      <c r="A6" s="101" t="s">
        <v>13</v>
      </c>
      <c r="B6" t="s">
        <v>14</v>
      </c>
    </row>
    <row r="7" spans="1:20">
      <c r="A7" s="101" t="s">
        <v>15</v>
      </c>
      <c r="B7">
        <v>9.8095000000000002E-2</v>
      </c>
    </row>
    <row r="8" spans="1:20">
      <c r="A8" s="101" t="s">
        <v>16</v>
      </c>
      <c r="B8" t="s">
        <v>17</v>
      </c>
    </row>
    <row r="9" spans="1:20">
      <c r="A9" s="101" t="s">
        <v>18</v>
      </c>
      <c r="B9" t="s">
        <v>37</v>
      </c>
    </row>
    <row r="10" spans="1:20" ht="15.75">
      <c r="A10" s="105" t="s">
        <v>19</v>
      </c>
    </row>
    <row r="11" spans="1:20" ht="15.75">
      <c r="A11" s="105" t="s">
        <v>20</v>
      </c>
      <c r="B11" s="16" t="s">
        <v>21</v>
      </c>
      <c r="C11" s="122" t="s">
        <v>198</v>
      </c>
      <c r="D11" s="16" t="s">
        <v>18</v>
      </c>
      <c r="E11" s="16" t="s">
        <v>22</v>
      </c>
      <c r="F11" s="16" t="s">
        <v>7</v>
      </c>
      <c r="G11" s="16" t="s">
        <v>13</v>
      </c>
      <c r="H11" s="16" t="s">
        <v>16</v>
      </c>
      <c r="I11" s="16" t="s">
        <v>23</v>
      </c>
      <c r="J11" s="16" t="s">
        <v>24</v>
      </c>
      <c r="K11" s="16" t="s">
        <v>25</v>
      </c>
      <c r="L11" s="16" t="s">
        <v>26</v>
      </c>
      <c r="M11" s="16" t="s">
        <v>27</v>
      </c>
      <c r="N11" s="16" t="s">
        <v>28</v>
      </c>
      <c r="O11" s="16" t="s">
        <v>11</v>
      </c>
    </row>
    <row r="12" spans="1:20" ht="15.75">
      <c r="A12" s="106" t="s">
        <v>1825</v>
      </c>
      <c r="B12">
        <v>9.8095000000000002E-2</v>
      </c>
      <c r="D12" t="s">
        <v>37</v>
      </c>
      <c r="E12" s="17" t="s">
        <v>2</v>
      </c>
      <c r="F12" t="s">
        <v>29</v>
      </c>
      <c r="G12" s="104" t="s">
        <v>14</v>
      </c>
      <c r="H12" t="s">
        <v>30</v>
      </c>
      <c r="I12">
        <v>1</v>
      </c>
      <c r="J12">
        <f>B12</f>
        <v>9.8095000000000002E-2</v>
      </c>
      <c r="K12" t="s">
        <v>31</v>
      </c>
      <c r="L12" t="s">
        <v>31</v>
      </c>
      <c r="M12" t="s">
        <v>31</v>
      </c>
      <c r="N12" t="s">
        <v>31</v>
      </c>
      <c r="Q12" s="129" t="s">
        <v>815</v>
      </c>
    </row>
    <row r="13" spans="1:20" ht="15.75">
      <c r="A13" s="106" t="s">
        <v>1827</v>
      </c>
      <c r="B13">
        <f>S13</f>
        <v>6.9999999999999999E-4</v>
      </c>
      <c r="D13" t="s">
        <v>113</v>
      </c>
      <c r="E13" s="17" t="s">
        <v>2</v>
      </c>
      <c r="F13" t="s">
        <v>29</v>
      </c>
      <c r="G13" s="104" t="s">
        <v>14</v>
      </c>
      <c r="H13" t="s">
        <v>33</v>
      </c>
      <c r="I13">
        <v>2</v>
      </c>
      <c r="J13">
        <f>LN(B13)</f>
        <v>-7.2644302229208693</v>
      </c>
      <c r="K13">
        <v>2.8722813232690055E-2</v>
      </c>
      <c r="L13" t="s">
        <v>31</v>
      </c>
      <c r="M13" t="s">
        <v>31</v>
      </c>
      <c r="N13" t="s">
        <v>31</v>
      </c>
      <c r="Q13" s="130" t="s">
        <v>817</v>
      </c>
      <c r="R13" s="131">
        <v>6.9999999999999999E-4</v>
      </c>
      <c r="S13" s="132">
        <f>R13</f>
        <v>6.9999999999999999E-4</v>
      </c>
      <c r="T13" t="s">
        <v>605</v>
      </c>
    </row>
    <row r="14" spans="1:20" ht="15.75">
      <c r="A14" s="47" t="s">
        <v>818</v>
      </c>
      <c r="B14">
        <f t="shared" ref="B14:B19" si="0">S14</f>
        <v>4.9000000000000002E-2</v>
      </c>
      <c r="D14" t="s">
        <v>37</v>
      </c>
      <c r="E14" s="17" t="s">
        <v>40</v>
      </c>
      <c r="F14" t="s">
        <v>29</v>
      </c>
      <c r="G14" s="104" t="s">
        <v>58</v>
      </c>
      <c r="H14" t="s">
        <v>33</v>
      </c>
      <c r="I14">
        <v>2</v>
      </c>
      <c r="J14">
        <f>LN(B14)</f>
        <v>-3.0159349808715104</v>
      </c>
      <c r="K14">
        <v>5.8523499553598146E-2</v>
      </c>
      <c r="L14" t="s">
        <v>31</v>
      </c>
      <c r="M14" t="s">
        <v>31</v>
      </c>
      <c r="N14" t="s">
        <v>31</v>
      </c>
      <c r="Q14" s="123" t="s">
        <v>575</v>
      </c>
      <c r="R14" s="128">
        <v>49</v>
      </c>
      <c r="S14">
        <f>R14*0.001</f>
        <v>4.9000000000000002E-2</v>
      </c>
      <c r="T14" t="s">
        <v>221</v>
      </c>
    </row>
    <row r="15" spans="1:20" ht="15.75">
      <c r="A15" s="47" t="s">
        <v>793</v>
      </c>
      <c r="B15">
        <f t="shared" si="0"/>
        <v>3.1E-4</v>
      </c>
      <c r="D15" t="s">
        <v>37</v>
      </c>
      <c r="E15" s="17" t="s">
        <v>40</v>
      </c>
      <c r="F15" t="s">
        <v>29</v>
      </c>
      <c r="G15" s="104" t="s">
        <v>58</v>
      </c>
      <c r="H15" t="s">
        <v>33</v>
      </c>
      <c r="I15">
        <v>2</v>
      </c>
      <c r="J15">
        <f t="shared" ref="J15:J19" si="1">LN(B15)</f>
        <v>-8.0789382604850815</v>
      </c>
      <c r="K15">
        <v>5.8523499553598146E-2</v>
      </c>
      <c r="L15" t="s">
        <v>31</v>
      </c>
      <c r="M15" t="s">
        <v>31</v>
      </c>
      <c r="N15" t="s">
        <v>31</v>
      </c>
      <c r="Q15" s="123" t="s">
        <v>575</v>
      </c>
      <c r="R15" s="133">
        <v>0.31</v>
      </c>
      <c r="S15">
        <f>R15*0.001</f>
        <v>3.1E-4</v>
      </c>
      <c r="T15" t="s">
        <v>221</v>
      </c>
    </row>
    <row r="16" spans="1:20" ht="15.75">
      <c r="A16" s="106" t="s">
        <v>38</v>
      </c>
      <c r="B16">
        <f t="shared" si="0"/>
        <v>0.05</v>
      </c>
      <c r="D16" t="s">
        <v>39</v>
      </c>
      <c r="E16" s="17" t="s">
        <v>40</v>
      </c>
      <c r="F16" t="s">
        <v>29</v>
      </c>
      <c r="G16" s="104" t="s">
        <v>35</v>
      </c>
      <c r="H16" t="s">
        <v>33</v>
      </c>
      <c r="I16">
        <v>2</v>
      </c>
      <c r="J16">
        <f t="shared" si="1"/>
        <v>-2.9957322735539909</v>
      </c>
      <c r="K16">
        <v>3.7749172176353707E-2</v>
      </c>
      <c r="L16" t="s">
        <v>31</v>
      </c>
      <c r="M16" t="s">
        <v>31</v>
      </c>
      <c r="N16" t="s">
        <v>31</v>
      </c>
      <c r="Q16" s="123" t="s">
        <v>216</v>
      </c>
      <c r="R16" s="133">
        <v>0.05</v>
      </c>
      <c r="S16" s="23">
        <f>R16</f>
        <v>0.05</v>
      </c>
      <c r="T16" t="s">
        <v>216</v>
      </c>
    </row>
    <row r="17" spans="1:20" ht="15.75">
      <c r="A17" s="47" t="s">
        <v>819</v>
      </c>
      <c r="B17">
        <f t="shared" si="0"/>
        <v>6.9999999999999999E-6</v>
      </c>
      <c r="D17" t="s">
        <v>37</v>
      </c>
      <c r="E17" s="17" t="s">
        <v>40</v>
      </c>
      <c r="F17" t="s">
        <v>29</v>
      </c>
      <c r="G17" s="104" t="s">
        <v>58</v>
      </c>
      <c r="H17" t="s">
        <v>33</v>
      </c>
      <c r="I17">
        <v>2</v>
      </c>
      <c r="J17">
        <f t="shared" si="1"/>
        <v>-11.86960040890896</v>
      </c>
      <c r="K17">
        <v>3.7749172176353707E-2</v>
      </c>
      <c r="L17" t="s">
        <v>31</v>
      </c>
      <c r="M17" t="s">
        <v>31</v>
      </c>
      <c r="N17" t="s">
        <v>31</v>
      </c>
      <c r="Q17" s="123" t="s">
        <v>575</v>
      </c>
      <c r="R17" s="134">
        <v>7.0000000000000001E-3</v>
      </c>
      <c r="S17">
        <f>R17*0.001</f>
        <v>6.9999999999999999E-6</v>
      </c>
      <c r="T17" t="s">
        <v>221</v>
      </c>
    </row>
    <row r="18" spans="1:20" ht="15.75">
      <c r="A18" s="47" t="s">
        <v>792</v>
      </c>
      <c r="B18">
        <f t="shared" si="0"/>
        <v>1.26E-4</v>
      </c>
      <c r="D18" t="s">
        <v>37</v>
      </c>
      <c r="E18" s="17" t="s">
        <v>40</v>
      </c>
      <c r="F18" t="s">
        <v>29</v>
      </c>
      <c r="G18" s="104" t="s">
        <v>741</v>
      </c>
      <c r="H18" t="s">
        <v>33</v>
      </c>
      <c r="I18">
        <v>2</v>
      </c>
      <c r="J18">
        <f t="shared" si="1"/>
        <v>-8.9792286510127965</v>
      </c>
      <c r="K18">
        <v>3.7749172176353707E-2</v>
      </c>
      <c r="L18" t="s">
        <v>31</v>
      </c>
      <c r="M18" t="s">
        <v>31</v>
      </c>
      <c r="N18" t="s">
        <v>31</v>
      </c>
      <c r="Q18" s="123" t="s">
        <v>575</v>
      </c>
      <c r="R18" s="134">
        <v>0.126</v>
      </c>
      <c r="S18">
        <f>R18*0.001</f>
        <v>1.26E-4</v>
      </c>
      <c r="T18" t="s">
        <v>221</v>
      </c>
    </row>
    <row r="19" spans="1:20" ht="15.75">
      <c r="A19" s="47" t="s">
        <v>480</v>
      </c>
      <c r="B19">
        <f t="shared" si="0"/>
        <v>1.4999999999999999E-2</v>
      </c>
      <c r="D19" t="s">
        <v>37</v>
      </c>
      <c r="E19" s="17" t="s">
        <v>40</v>
      </c>
      <c r="F19" t="s">
        <v>29</v>
      </c>
      <c r="G19" s="104" t="s">
        <v>35</v>
      </c>
      <c r="H19" t="s">
        <v>33</v>
      </c>
      <c r="I19">
        <v>2</v>
      </c>
      <c r="J19">
        <f t="shared" si="1"/>
        <v>-4.1997050778799272</v>
      </c>
      <c r="K19">
        <v>3.7749172176353707E-2</v>
      </c>
      <c r="L19" t="s">
        <v>31</v>
      </c>
      <c r="M19" t="s">
        <v>31</v>
      </c>
      <c r="N19" t="s">
        <v>31</v>
      </c>
      <c r="Q19" s="123" t="s">
        <v>221</v>
      </c>
      <c r="R19" s="134">
        <v>1.4999999999999999E-2</v>
      </c>
      <c r="S19" s="132">
        <f>R19</f>
        <v>1.4999999999999999E-2</v>
      </c>
      <c r="T19" t="s">
        <v>221</v>
      </c>
    </row>
    <row r="20" spans="1:20" ht="15.75">
      <c r="A20" s="99" t="s">
        <v>5</v>
      </c>
      <c r="B20" s="100" t="s">
        <v>1827</v>
      </c>
      <c r="C20" s="100"/>
      <c r="D20" s="39"/>
      <c r="E20" s="41"/>
      <c r="F20" s="41"/>
      <c r="G20" s="41"/>
      <c r="H20" s="41"/>
      <c r="I20" s="41"/>
      <c r="J20" s="41"/>
      <c r="K20" s="41"/>
      <c r="L20" s="41"/>
      <c r="M20" s="41"/>
      <c r="N20" s="41"/>
    </row>
    <row r="21" spans="1:20">
      <c r="A21" s="101" t="s">
        <v>7</v>
      </c>
      <c r="B21" t="s">
        <v>1807</v>
      </c>
      <c r="D21" s="102"/>
    </row>
    <row r="22" spans="1:20">
      <c r="A22" s="101" t="s">
        <v>9</v>
      </c>
      <c r="B22" s="22" t="s">
        <v>1828</v>
      </c>
      <c r="C22" s="22"/>
      <c r="D22" s="102"/>
      <c r="Q22" t="s">
        <v>1822</v>
      </c>
    </row>
    <row r="23" spans="1:20" ht="14.25" customHeight="1">
      <c r="A23" s="101" t="s">
        <v>11</v>
      </c>
      <c r="B23" s="103" t="s">
        <v>789</v>
      </c>
      <c r="C23" s="103"/>
    </row>
    <row r="24" spans="1:20">
      <c r="A24" s="101" t="s">
        <v>13</v>
      </c>
      <c r="B24" t="s">
        <v>14</v>
      </c>
    </row>
    <row r="25" spans="1:20">
      <c r="A25" s="101" t="s">
        <v>15</v>
      </c>
      <c r="B25">
        <v>7.0000000000000001E-3</v>
      </c>
    </row>
    <row r="26" spans="1:20">
      <c r="A26" s="101" t="s">
        <v>16</v>
      </c>
      <c r="B26" t="s">
        <v>17</v>
      </c>
    </row>
    <row r="27" spans="1:20">
      <c r="A27" s="101" t="s">
        <v>18</v>
      </c>
      <c r="B27" t="s">
        <v>113</v>
      </c>
    </row>
    <row r="28" spans="1:20" ht="15.75">
      <c r="A28" s="105" t="s">
        <v>19</v>
      </c>
    </row>
    <row r="29" spans="1:20" ht="15.75">
      <c r="A29" s="105" t="s">
        <v>20</v>
      </c>
      <c r="B29" s="16" t="s">
        <v>21</v>
      </c>
      <c r="C29" s="122" t="s">
        <v>198</v>
      </c>
      <c r="D29" s="16" t="s">
        <v>18</v>
      </c>
      <c r="E29" s="16" t="s">
        <v>22</v>
      </c>
      <c r="F29" s="16" t="s">
        <v>7</v>
      </c>
      <c r="G29" s="16" t="s">
        <v>13</v>
      </c>
      <c r="H29" s="16" t="s">
        <v>16</v>
      </c>
      <c r="I29" s="16" t="s">
        <v>23</v>
      </c>
      <c r="J29" s="16" t="s">
        <v>24</v>
      </c>
      <c r="K29" s="16" t="s">
        <v>25</v>
      </c>
      <c r="L29" s="16" t="s">
        <v>26</v>
      </c>
      <c r="M29" s="16" t="s">
        <v>27</v>
      </c>
      <c r="N29" s="16" t="s">
        <v>28</v>
      </c>
      <c r="O29" s="16" t="s">
        <v>11</v>
      </c>
    </row>
    <row r="30" spans="1:20" ht="15.75">
      <c r="A30" s="106" t="s">
        <v>1827</v>
      </c>
      <c r="B30">
        <v>7.0000000000000001E-3</v>
      </c>
      <c r="D30" t="s">
        <v>113</v>
      </c>
      <c r="E30" s="17" t="s">
        <v>2</v>
      </c>
      <c r="F30" t="s">
        <v>29</v>
      </c>
      <c r="G30" s="104" t="s">
        <v>14</v>
      </c>
      <c r="H30" t="s">
        <v>30</v>
      </c>
      <c r="I30">
        <v>1</v>
      </c>
      <c r="J30">
        <f>B30</f>
        <v>7.0000000000000001E-3</v>
      </c>
      <c r="K30" t="s">
        <v>31</v>
      </c>
      <c r="L30" t="s">
        <v>31</v>
      </c>
      <c r="M30" t="s">
        <v>31</v>
      </c>
      <c r="N30" t="s">
        <v>31</v>
      </c>
    </row>
    <row r="31" spans="1:20" ht="15.75">
      <c r="A31" s="106" t="s">
        <v>1829</v>
      </c>
      <c r="B31">
        <v>1</v>
      </c>
      <c r="D31" t="s">
        <v>18</v>
      </c>
      <c r="E31" s="17" t="s">
        <v>2</v>
      </c>
      <c r="F31" t="s">
        <v>29</v>
      </c>
      <c r="G31" s="104" t="s">
        <v>14</v>
      </c>
      <c r="H31" t="s">
        <v>33</v>
      </c>
      <c r="I31">
        <v>1</v>
      </c>
      <c r="J31">
        <f>B31</f>
        <v>1</v>
      </c>
      <c r="K31" t="s">
        <v>31</v>
      </c>
      <c r="L31" t="s">
        <v>31</v>
      </c>
      <c r="M31" t="s">
        <v>31</v>
      </c>
      <c r="N31" t="s">
        <v>31</v>
      </c>
    </row>
    <row r="32" spans="1:20" ht="15.75">
      <c r="A32" s="106" t="s">
        <v>38</v>
      </c>
      <c r="B32">
        <v>1.02</v>
      </c>
      <c r="D32" t="s">
        <v>39</v>
      </c>
      <c r="E32" s="17" t="s">
        <v>40</v>
      </c>
      <c r="F32" t="s">
        <v>29</v>
      </c>
      <c r="G32" s="104" t="s">
        <v>14</v>
      </c>
      <c r="H32" t="s">
        <v>33</v>
      </c>
      <c r="I32">
        <v>2</v>
      </c>
      <c r="J32">
        <f>LN(B32)</f>
        <v>1.980262729617973E-2</v>
      </c>
      <c r="K32">
        <v>3.7749171999999998E-2</v>
      </c>
      <c r="L32" t="s">
        <v>31</v>
      </c>
      <c r="M32" t="s">
        <v>31</v>
      </c>
      <c r="N32" t="s">
        <v>31</v>
      </c>
    </row>
    <row r="33" spans="1:17" ht="15.75">
      <c r="A33" s="106" t="s">
        <v>791</v>
      </c>
      <c r="B33">
        <f>1.4/1000</f>
        <v>1.4E-3</v>
      </c>
      <c r="D33" t="s">
        <v>37</v>
      </c>
      <c r="E33" s="17" t="s">
        <v>40</v>
      </c>
      <c r="F33" t="s">
        <v>29</v>
      </c>
      <c r="G33" s="104" t="s">
        <v>35</v>
      </c>
      <c r="H33" t="s">
        <v>33</v>
      </c>
      <c r="I33">
        <v>2</v>
      </c>
      <c r="J33">
        <f t="shared" ref="J33:J45" si="2">LN(B33)</f>
        <v>-6.5712830423609239</v>
      </c>
      <c r="K33">
        <v>3.7749171999999998E-2</v>
      </c>
      <c r="L33" t="s">
        <v>31</v>
      </c>
      <c r="M33" t="s">
        <v>31</v>
      </c>
      <c r="N33" t="s">
        <v>31</v>
      </c>
    </row>
    <row r="34" spans="1:17" ht="15.75">
      <c r="A34" s="106" t="s">
        <v>546</v>
      </c>
      <c r="B34">
        <f>0.2/1000</f>
        <v>2.0000000000000001E-4</v>
      </c>
      <c r="D34" t="s">
        <v>37</v>
      </c>
      <c r="E34" s="17" t="s">
        <v>40</v>
      </c>
      <c r="F34" t="s">
        <v>29</v>
      </c>
      <c r="G34" s="104" t="s">
        <v>58</v>
      </c>
      <c r="H34" t="s">
        <v>33</v>
      </c>
      <c r="I34">
        <v>2</v>
      </c>
      <c r="J34">
        <f t="shared" si="2"/>
        <v>-8.5171931914162382</v>
      </c>
      <c r="K34">
        <v>3.7749171999999998E-2</v>
      </c>
      <c r="L34" t="s">
        <v>31</v>
      </c>
      <c r="M34" t="s">
        <v>31</v>
      </c>
      <c r="N34" t="s">
        <v>31</v>
      </c>
    </row>
    <row r="35" spans="1:17" ht="15.75">
      <c r="A35" s="106" t="s">
        <v>792</v>
      </c>
      <c r="B35">
        <f>7.1/1000</f>
        <v>7.0999999999999995E-3</v>
      </c>
      <c r="D35" t="s">
        <v>37</v>
      </c>
      <c r="E35" s="17" t="s">
        <v>40</v>
      </c>
      <c r="F35" t="s">
        <v>29</v>
      </c>
      <c r="G35" s="104" t="s">
        <v>741</v>
      </c>
      <c r="H35" t="s">
        <v>33</v>
      </c>
      <c r="I35">
        <v>2</v>
      </c>
      <c r="J35">
        <f t="shared" si="2"/>
        <v>-4.9476604949348673</v>
      </c>
      <c r="K35">
        <v>3.7749171999999998E-2</v>
      </c>
      <c r="L35" t="s">
        <v>31</v>
      </c>
      <c r="M35" t="s">
        <v>31</v>
      </c>
      <c r="N35" t="s">
        <v>31</v>
      </c>
    </row>
    <row r="36" spans="1:17" ht="15.75">
      <c r="A36" s="106" t="s">
        <v>480</v>
      </c>
      <c r="B36">
        <v>1.4</v>
      </c>
      <c r="D36" t="s">
        <v>37</v>
      </c>
      <c r="E36" s="17" t="s">
        <v>40</v>
      </c>
      <c r="F36" t="s">
        <v>29</v>
      </c>
      <c r="G36" s="104" t="s">
        <v>35</v>
      </c>
      <c r="H36" t="s">
        <v>33</v>
      </c>
      <c r="I36">
        <v>2</v>
      </c>
      <c r="J36">
        <f t="shared" si="2"/>
        <v>0.33647223662121289</v>
      </c>
      <c r="K36">
        <v>3.7749171999999998E-2</v>
      </c>
      <c r="L36" t="s">
        <v>31</v>
      </c>
      <c r="M36" t="s">
        <v>31</v>
      </c>
      <c r="N36" t="s">
        <v>31</v>
      </c>
    </row>
    <row r="37" spans="1:17" ht="15.75">
      <c r="A37" s="106" t="s">
        <v>793</v>
      </c>
      <c r="B37">
        <v>2E-3</v>
      </c>
      <c r="D37" t="s">
        <v>37</v>
      </c>
      <c r="E37" s="17" t="s">
        <v>40</v>
      </c>
      <c r="F37" t="s">
        <v>29</v>
      </c>
      <c r="G37" s="104" t="s">
        <v>58</v>
      </c>
      <c r="H37" t="s">
        <v>33</v>
      </c>
      <c r="I37">
        <v>2</v>
      </c>
      <c r="J37">
        <f t="shared" si="2"/>
        <v>-6.2146080984221914</v>
      </c>
      <c r="K37">
        <v>3.7749171999999998E-2</v>
      </c>
      <c r="L37" t="s">
        <v>31</v>
      </c>
      <c r="M37" t="s">
        <v>31</v>
      </c>
      <c r="N37" t="s">
        <v>31</v>
      </c>
    </row>
    <row r="38" spans="1:17" ht="15.75">
      <c r="A38" s="106" t="s">
        <v>794</v>
      </c>
      <c r="B38">
        <v>3.0000000000000001E-3</v>
      </c>
      <c r="D38" t="s">
        <v>37</v>
      </c>
      <c r="E38" s="17" t="s">
        <v>40</v>
      </c>
      <c r="F38" t="s">
        <v>29</v>
      </c>
      <c r="G38" s="104" t="s">
        <v>58</v>
      </c>
      <c r="H38" t="s">
        <v>33</v>
      </c>
      <c r="I38">
        <v>2</v>
      </c>
      <c r="J38">
        <f t="shared" si="2"/>
        <v>-5.8091429903140277</v>
      </c>
      <c r="K38">
        <v>3.7749171999999998E-2</v>
      </c>
      <c r="L38" t="s">
        <v>31</v>
      </c>
      <c r="M38" t="s">
        <v>31</v>
      </c>
      <c r="N38" t="s">
        <v>31</v>
      </c>
    </row>
    <row r="39" spans="1:17" ht="15.75">
      <c r="A39" s="106" t="s">
        <v>795</v>
      </c>
      <c r="B39">
        <v>2.9999999999999997E-4</v>
      </c>
      <c r="D39" t="s">
        <v>37</v>
      </c>
      <c r="E39" s="17" t="s">
        <v>40</v>
      </c>
      <c r="F39" t="s">
        <v>29</v>
      </c>
      <c r="G39" s="104" t="s">
        <v>35</v>
      </c>
      <c r="H39" t="s">
        <v>33</v>
      </c>
      <c r="I39">
        <v>2</v>
      </c>
      <c r="J39">
        <f t="shared" si="2"/>
        <v>-8.1117280833080727</v>
      </c>
      <c r="K39">
        <v>3.7749171999999998E-2</v>
      </c>
      <c r="L39" t="s">
        <v>31</v>
      </c>
      <c r="M39" t="s">
        <v>31</v>
      </c>
      <c r="N39" t="s">
        <v>31</v>
      </c>
    </row>
    <row r="40" spans="1:17" ht="15.75">
      <c r="A40" s="106" t="s">
        <v>796</v>
      </c>
      <c r="B40">
        <v>1.5E-3</v>
      </c>
      <c r="D40" t="s">
        <v>37</v>
      </c>
      <c r="E40" s="17" t="s">
        <v>40</v>
      </c>
      <c r="F40" t="s">
        <v>29</v>
      </c>
      <c r="G40" s="104" t="s">
        <v>58</v>
      </c>
      <c r="H40" t="s">
        <v>33</v>
      </c>
      <c r="I40">
        <v>2</v>
      </c>
      <c r="J40">
        <f t="shared" si="2"/>
        <v>-6.5022901708739722</v>
      </c>
      <c r="K40">
        <v>3.7749171999999998E-2</v>
      </c>
      <c r="L40" t="s">
        <v>31</v>
      </c>
      <c r="M40" t="s">
        <v>31</v>
      </c>
      <c r="N40" t="s">
        <v>31</v>
      </c>
    </row>
    <row r="41" spans="1:17" ht="15.75">
      <c r="A41" s="106" t="s">
        <v>797</v>
      </c>
      <c r="B41">
        <v>5.0000000000000001E-4</v>
      </c>
      <c r="D41" t="s">
        <v>37</v>
      </c>
      <c r="E41" s="17" t="s">
        <v>40</v>
      </c>
      <c r="F41" t="s">
        <v>29</v>
      </c>
      <c r="G41" s="104" t="s">
        <v>35</v>
      </c>
      <c r="H41" t="s">
        <v>33</v>
      </c>
      <c r="I41">
        <v>2</v>
      </c>
      <c r="J41">
        <f t="shared" si="2"/>
        <v>-7.6009024595420822</v>
      </c>
      <c r="K41">
        <v>3.7749171999999998E-2</v>
      </c>
      <c r="L41" t="s">
        <v>31</v>
      </c>
      <c r="M41" t="s">
        <v>31</v>
      </c>
      <c r="N41" t="s">
        <v>31</v>
      </c>
    </row>
    <row r="42" spans="1:17" ht="15.75">
      <c r="A42" s="106" t="s">
        <v>798</v>
      </c>
      <c r="B42">
        <v>8.9999999999999992E-5</v>
      </c>
      <c r="D42" t="s">
        <v>37</v>
      </c>
      <c r="E42" s="17" t="s">
        <v>43</v>
      </c>
      <c r="F42" t="s">
        <v>44</v>
      </c>
      <c r="G42" s="104" t="s">
        <v>29</v>
      </c>
      <c r="H42" t="s">
        <v>45</v>
      </c>
      <c r="I42">
        <v>2</v>
      </c>
      <c r="J42">
        <f t="shared" si="2"/>
        <v>-9.3157008876340086</v>
      </c>
      <c r="K42">
        <v>3.7749171999999998E-2</v>
      </c>
      <c r="L42" t="s">
        <v>31</v>
      </c>
      <c r="M42" t="s">
        <v>31</v>
      </c>
      <c r="N42" t="s">
        <v>31</v>
      </c>
    </row>
    <row r="43" spans="1:17" ht="15.75">
      <c r="A43" s="106" t="s">
        <v>760</v>
      </c>
      <c r="B43">
        <v>3.3999999999999998E-3</v>
      </c>
      <c r="D43" t="s">
        <v>37</v>
      </c>
      <c r="E43" s="17" t="s">
        <v>43</v>
      </c>
      <c r="F43" t="s">
        <v>44</v>
      </c>
      <c r="G43" s="104" t="s">
        <v>29</v>
      </c>
      <c r="H43" t="s">
        <v>45</v>
      </c>
      <c r="I43">
        <v>2</v>
      </c>
      <c r="J43">
        <f t="shared" si="2"/>
        <v>-5.6839798473600212</v>
      </c>
      <c r="K43">
        <v>3.7749171999999998E-2</v>
      </c>
      <c r="L43" t="s">
        <v>31</v>
      </c>
      <c r="M43" t="s">
        <v>31</v>
      </c>
      <c r="N43" t="s">
        <v>31</v>
      </c>
    </row>
    <row r="44" spans="1:17" ht="15.75">
      <c r="A44" s="17" t="s">
        <v>1808</v>
      </c>
      <c r="B44">
        <v>1.4E-3</v>
      </c>
      <c r="D44" t="s">
        <v>37</v>
      </c>
      <c r="E44" s="17" t="s">
        <v>2</v>
      </c>
      <c r="F44" t="s">
        <v>29</v>
      </c>
      <c r="G44" s="104" t="s">
        <v>741</v>
      </c>
      <c r="H44" t="s">
        <v>33</v>
      </c>
      <c r="I44">
        <v>2</v>
      </c>
      <c r="J44">
        <f t="shared" si="2"/>
        <v>-6.5712830423609239</v>
      </c>
      <c r="K44">
        <v>3.7749171999999998E-2</v>
      </c>
      <c r="L44" t="s">
        <v>31</v>
      </c>
      <c r="M44" t="s">
        <v>31</v>
      </c>
      <c r="N44" t="s">
        <v>31</v>
      </c>
    </row>
    <row r="45" spans="1:17" ht="15.75">
      <c r="A45" s="17" t="s">
        <v>1810</v>
      </c>
      <c r="B45">
        <v>6.0000000000000002E-5</v>
      </c>
      <c r="D45" t="s">
        <v>37</v>
      </c>
      <c r="E45" s="17" t="s">
        <v>2</v>
      </c>
      <c r="F45" t="s">
        <v>29</v>
      </c>
      <c r="G45" t="s">
        <v>741</v>
      </c>
      <c r="H45" t="s">
        <v>33</v>
      </c>
      <c r="I45">
        <v>2</v>
      </c>
      <c r="J45">
        <f t="shared" si="2"/>
        <v>-9.7211659957421741</v>
      </c>
      <c r="K45">
        <v>3.7749171999999998E-2</v>
      </c>
      <c r="L45" t="s">
        <v>31</v>
      </c>
      <c r="M45" t="s">
        <v>31</v>
      </c>
      <c r="N45" t="s">
        <v>31</v>
      </c>
    </row>
    <row r="46" spans="1:17" ht="15.75">
      <c r="A46" s="99" t="s">
        <v>5</v>
      </c>
      <c r="B46" s="100" t="s">
        <v>1829</v>
      </c>
      <c r="C46" s="100"/>
      <c r="D46" s="39"/>
      <c r="E46" s="41"/>
      <c r="F46" s="41"/>
      <c r="G46" s="41"/>
      <c r="H46" s="41"/>
      <c r="I46" s="41"/>
      <c r="J46" s="41"/>
      <c r="K46" s="41"/>
      <c r="L46" s="41"/>
      <c r="M46" s="41"/>
      <c r="N46" s="41"/>
    </row>
    <row r="47" spans="1:17">
      <c r="A47" s="101" t="s">
        <v>7</v>
      </c>
      <c r="B47" t="s">
        <v>1807</v>
      </c>
      <c r="D47" s="102"/>
      <c r="Q47" t="s">
        <v>1822</v>
      </c>
    </row>
    <row r="48" spans="1:17">
      <c r="A48" s="101" t="s">
        <v>9</v>
      </c>
      <c r="B48" t="s">
        <v>1830</v>
      </c>
      <c r="D48" s="102"/>
    </row>
    <row r="49" spans="1:20" ht="14.25" customHeight="1">
      <c r="A49" s="101" t="s">
        <v>11</v>
      </c>
      <c r="B49" s="103" t="s">
        <v>789</v>
      </c>
      <c r="C49" s="103"/>
    </row>
    <row r="50" spans="1:20">
      <c r="A50" s="101" t="s">
        <v>13</v>
      </c>
      <c r="B50" t="s">
        <v>14</v>
      </c>
    </row>
    <row r="51" spans="1:20">
      <c r="A51" s="101" t="s">
        <v>15</v>
      </c>
      <c r="B51">
        <v>1</v>
      </c>
    </row>
    <row r="52" spans="1:20">
      <c r="A52" s="101" t="s">
        <v>16</v>
      </c>
      <c r="B52" t="s">
        <v>17</v>
      </c>
    </row>
    <row r="53" spans="1:20">
      <c r="A53" s="101" t="s">
        <v>18</v>
      </c>
      <c r="B53" t="s">
        <v>18</v>
      </c>
    </row>
    <row r="54" spans="1:20" ht="15.75">
      <c r="A54" s="105" t="s">
        <v>19</v>
      </c>
    </row>
    <row r="55" spans="1:20" ht="15.75">
      <c r="A55" s="105" t="s">
        <v>20</v>
      </c>
      <c r="B55" s="16" t="s">
        <v>21</v>
      </c>
      <c r="C55" s="122" t="s">
        <v>198</v>
      </c>
      <c r="D55" s="16" t="s">
        <v>18</v>
      </c>
      <c r="E55" s="16" t="s">
        <v>22</v>
      </c>
      <c r="F55" s="16" t="s">
        <v>7</v>
      </c>
      <c r="G55" s="16" t="s">
        <v>13</v>
      </c>
      <c r="H55" s="16" t="s">
        <v>16</v>
      </c>
      <c r="I55" s="16" t="s">
        <v>23</v>
      </c>
      <c r="J55" s="16" t="s">
        <v>24</v>
      </c>
      <c r="K55" s="16" t="s">
        <v>25</v>
      </c>
      <c r="L55" s="16" t="s">
        <v>26</v>
      </c>
      <c r="M55" s="16" t="s">
        <v>27</v>
      </c>
      <c r="N55" s="16" t="s">
        <v>28</v>
      </c>
      <c r="O55" s="16" t="s">
        <v>11</v>
      </c>
    </row>
    <row r="56" spans="1:20" ht="15.75">
      <c r="A56" s="106" t="s">
        <v>1829</v>
      </c>
      <c r="B56">
        <v>1</v>
      </c>
      <c r="D56" t="s">
        <v>18</v>
      </c>
      <c r="E56" s="17" t="s">
        <v>2</v>
      </c>
      <c r="F56" t="s">
        <v>29</v>
      </c>
      <c r="G56" s="104" t="s">
        <v>14</v>
      </c>
      <c r="H56" t="s">
        <v>30</v>
      </c>
      <c r="I56">
        <v>1</v>
      </c>
      <c r="J56">
        <f>B56</f>
        <v>1</v>
      </c>
      <c r="K56" t="s">
        <v>31</v>
      </c>
      <c r="L56" t="s">
        <v>31</v>
      </c>
      <c r="M56" t="s">
        <v>31</v>
      </c>
      <c r="N56" t="s">
        <v>31</v>
      </c>
    </row>
    <row r="57" spans="1:20" ht="15.75">
      <c r="A57" s="106" t="s">
        <v>800</v>
      </c>
      <c r="B57">
        <f>T57</f>
        <v>6.9999999999999993E-3</v>
      </c>
      <c r="D57" t="s">
        <v>113</v>
      </c>
      <c r="E57" s="17" t="s">
        <v>40</v>
      </c>
      <c r="F57" t="s">
        <v>29</v>
      </c>
      <c r="G57" s="104" t="s">
        <v>58</v>
      </c>
      <c r="H57" t="s">
        <v>33</v>
      </c>
      <c r="I57">
        <v>2</v>
      </c>
      <c r="J57">
        <f>LN(B57)</f>
        <v>-4.9618451299268242</v>
      </c>
      <c r="K57">
        <v>2.8722813232690055E-2</v>
      </c>
      <c r="L57" t="s">
        <v>31</v>
      </c>
      <c r="M57" t="s">
        <v>31</v>
      </c>
      <c r="N57" t="s">
        <v>31</v>
      </c>
      <c r="Q57" s="123" t="s">
        <v>801</v>
      </c>
      <c r="R57" s="124">
        <v>0.7</v>
      </c>
      <c r="S57" t="s">
        <v>605</v>
      </c>
      <c r="T57">
        <f>R57*0.01</f>
        <v>6.9999999999999993E-3</v>
      </c>
    </row>
    <row r="58" spans="1:20" ht="15.75">
      <c r="A58" s="106" t="s">
        <v>802</v>
      </c>
      <c r="B58">
        <f t="shared" ref="B58:B70" si="3">T58</f>
        <v>3.7000000000000002E-3</v>
      </c>
      <c r="D58" t="s">
        <v>37</v>
      </c>
      <c r="E58" s="17" t="s">
        <v>40</v>
      </c>
      <c r="F58" t="s">
        <v>29</v>
      </c>
      <c r="G58" s="104" t="s">
        <v>58</v>
      </c>
      <c r="H58" t="s">
        <v>33</v>
      </c>
      <c r="I58">
        <v>2</v>
      </c>
      <c r="J58">
        <f t="shared" ref="J58:J70" si="4">LN(B58)</f>
        <v>-5.5994224593319579</v>
      </c>
      <c r="K58">
        <v>2.8722813232690055E-2</v>
      </c>
      <c r="L58" t="s">
        <v>31</v>
      </c>
      <c r="M58" t="s">
        <v>31</v>
      </c>
      <c r="N58" t="s">
        <v>31</v>
      </c>
      <c r="Q58" s="125" t="s">
        <v>575</v>
      </c>
      <c r="R58" s="126">
        <v>3.7</v>
      </c>
      <c r="S58" t="s">
        <v>221</v>
      </c>
      <c r="T58">
        <f>R58*0.001</f>
        <v>3.7000000000000002E-3</v>
      </c>
    </row>
    <row r="59" spans="1:20" ht="15.75">
      <c r="A59" s="106" t="s">
        <v>803</v>
      </c>
      <c r="B59">
        <f t="shared" si="3"/>
        <v>1.9E-3</v>
      </c>
      <c r="D59" t="s">
        <v>37</v>
      </c>
      <c r="E59" s="17" t="s">
        <v>40</v>
      </c>
      <c r="F59" t="s">
        <v>29</v>
      </c>
      <c r="G59" s="104" t="s">
        <v>58</v>
      </c>
      <c r="H59" t="s">
        <v>33</v>
      </c>
      <c r="I59">
        <v>2</v>
      </c>
      <c r="J59">
        <f t="shared" si="4"/>
        <v>-6.2659013928097425</v>
      </c>
      <c r="K59">
        <v>2.8722813232690055E-2</v>
      </c>
      <c r="L59" t="s">
        <v>31</v>
      </c>
      <c r="M59" t="s">
        <v>31</v>
      </c>
      <c r="N59" t="s">
        <v>31</v>
      </c>
      <c r="Q59" s="123" t="s">
        <v>575</v>
      </c>
      <c r="R59" s="124">
        <v>1.9</v>
      </c>
      <c r="S59" t="s">
        <v>221</v>
      </c>
      <c r="T59">
        <f t="shared" ref="T59:T60" si="5">R59*0.001</f>
        <v>1.9E-3</v>
      </c>
    </row>
    <row r="60" spans="1:20" ht="15.75">
      <c r="A60" s="106" t="s">
        <v>805</v>
      </c>
      <c r="B60">
        <f t="shared" si="3"/>
        <v>4.7999999999999996E-3</v>
      </c>
      <c r="D60" t="s">
        <v>37</v>
      </c>
      <c r="E60" s="17" t="s">
        <v>40</v>
      </c>
      <c r="F60" t="s">
        <v>29</v>
      </c>
      <c r="G60" s="104" t="s">
        <v>58</v>
      </c>
      <c r="H60" t="s">
        <v>33</v>
      </c>
      <c r="I60">
        <v>2</v>
      </c>
      <c r="J60">
        <f t="shared" si="4"/>
        <v>-5.339139361068292</v>
      </c>
      <c r="K60">
        <v>2.8722813232690055E-2</v>
      </c>
      <c r="L60" t="s">
        <v>31</v>
      </c>
      <c r="M60" t="s">
        <v>31</v>
      </c>
      <c r="N60" t="s">
        <v>31</v>
      </c>
      <c r="Q60" s="123" t="s">
        <v>575</v>
      </c>
      <c r="R60" s="126">
        <v>4.8</v>
      </c>
      <c r="S60" t="s">
        <v>221</v>
      </c>
      <c r="T60">
        <f t="shared" si="5"/>
        <v>4.7999999999999996E-3</v>
      </c>
    </row>
    <row r="61" spans="1:20" ht="15.75">
      <c r="A61" t="s">
        <v>823</v>
      </c>
      <c r="B61">
        <f t="shared" si="3"/>
        <v>2.9999999999999997E-4</v>
      </c>
      <c r="D61" t="s">
        <v>37</v>
      </c>
      <c r="E61" s="17" t="s">
        <v>40</v>
      </c>
      <c r="F61" t="s">
        <v>29</v>
      </c>
      <c r="G61" s="104" t="s">
        <v>58</v>
      </c>
      <c r="H61" t="s">
        <v>33</v>
      </c>
      <c r="I61">
        <v>2</v>
      </c>
      <c r="J61">
        <f t="shared" si="4"/>
        <v>-8.1117280833080727</v>
      </c>
      <c r="K61">
        <v>2.8722813232690055E-2</v>
      </c>
      <c r="L61" t="s">
        <v>31</v>
      </c>
      <c r="M61" t="s">
        <v>31</v>
      </c>
      <c r="N61" t="s">
        <v>31</v>
      </c>
      <c r="Q61" s="125" t="s">
        <v>523</v>
      </c>
      <c r="R61" s="127">
        <v>300</v>
      </c>
      <c r="S61" t="s">
        <v>221</v>
      </c>
      <c r="T61">
        <f>R61*0.000001</f>
        <v>2.9999999999999997E-4</v>
      </c>
    </row>
    <row r="62" spans="1:20" ht="15.75">
      <c r="A62" s="106" t="s">
        <v>806</v>
      </c>
      <c r="B62">
        <f t="shared" si="3"/>
        <v>1.1E-5</v>
      </c>
      <c r="D62" t="s">
        <v>37</v>
      </c>
      <c r="E62" s="17" t="s">
        <v>40</v>
      </c>
      <c r="F62" t="s">
        <v>29</v>
      </c>
      <c r="G62" s="104" t="s">
        <v>58</v>
      </c>
      <c r="H62" t="s">
        <v>33</v>
      </c>
      <c r="I62">
        <v>2</v>
      </c>
      <c r="J62">
        <f t="shared" si="4"/>
        <v>-11.417615285165903</v>
      </c>
      <c r="K62">
        <v>2.8722813232690055E-2</v>
      </c>
      <c r="L62" t="s">
        <v>31</v>
      </c>
      <c r="M62" t="s">
        <v>31</v>
      </c>
      <c r="N62" t="s">
        <v>31</v>
      </c>
      <c r="Q62" s="125" t="s">
        <v>523</v>
      </c>
      <c r="R62" s="127">
        <v>11</v>
      </c>
      <c r="S62" t="s">
        <v>221</v>
      </c>
      <c r="T62">
        <f>R62*0.000001</f>
        <v>1.1E-5</v>
      </c>
    </row>
    <row r="63" spans="1:20" ht="15.75">
      <c r="A63" s="106" t="s">
        <v>807</v>
      </c>
      <c r="B63">
        <f t="shared" si="3"/>
        <v>5.4000000000000001E-4</v>
      </c>
      <c r="D63" t="s">
        <v>37</v>
      </c>
      <c r="E63" s="17" t="s">
        <v>40</v>
      </c>
      <c r="F63" t="s">
        <v>29</v>
      </c>
      <c r="G63" s="104" t="s">
        <v>58</v>
      </c>
      <c r="H63" t="s">
        <v>33</v>
      </c>
      <c r="I63">
        <v>2</v>
      </c>
      <c r="J63">
        <f t="shared" si="4"/>
        <v>-7.5239414184059541</v>
      </c>
      <c r="K63">
        <v>2.8722813232690055E-2</v>
      </c>
      <c r="L63" t="s">
        <v>31</v>
      </c>
      <c r="M63" t="s">
        <v>31</v>
      </c>
      <c r="N63" t="s">
        <v>31</v>
      </c>
      <c r="Q63" s="125" t="s">
        <v>523</v>
      </c>
      <c r="R63" s="127">
        <v>540</v>
      </c>
      <c r="S63" t="s">
        <v>221</v>
      </c>
      <c r="T63">
        <f>R63*0.000001</f>
        <v>5.4000000000000001E-4</v>
      </c>
    </row>
    <row r="64" spans="1:20" ht="15.75">
      <c r="A64" s="106" t="s">
        <v>808</v>
      </c>
      <c r="B64">
        <f t="shared" si="3"/>
        <v>6.5000000000000006E-3</v>
      </c>
      <c r="D64" t="s">
        <v>37</v>
      </c>
      <c r="E64" s="17" t="s">
        <v>40</v>
      </c>
      <c r="F64" t="s">
        <v>29</v>
      </c>
      <c r="G64" s="104" t="s">
        <v>58</v>
      </c>
      <c r="H64" t="s">
        <v>33</v>
      </c>
      <c r="I64">
        <v>2</v>
      </c>
      <c r="J64">
        <f t="shared" si="4"/>
        <v>-5.0359531020805459</v>
      </c>
      <c r="K64">
        <v>2.8722813232690055E-2</v>
      </c>
      <c r="L64" t="s">
        <v>31</v>
      </c>
      <c r="M64" t="s">
        <v>31</v>
      </c>
      <c r="N64" t="s">
        <v>31</v>
      </c>
      <c r="Q64" s="125" t="s">
        <v>575</v>
      </c>
      <c r="R64" s="126">
        <v>6.5</v>
      </c>
      <c r="S64" t="s">
        <v>221</v>
      </c>
      <c r="T64">
        <f t="shared" ref="T64" si="6">R64*0.001</f>
        <v>6.5000000000000006E-3</v>
      </c>
    </row>
    <row r="65" spans="1:20" ht="15.75">
      <c r="A65" s="47" t="s">
        <v>824</v>
      </c>
      <c r="B65">
        <f t="shared" si="3"/>
        <v>3.6000000000000001E-5</v>
      </c>
      <c r="D65" t="s">
        <v>37</v>
      </c>
      <c r="E65" s="17" t="s">
        <v>40</v>
      </c>
      <c r="F65" t="s">
        <v>29</v>
      </c>
      <c r="G65" s="104" t="s">
        <v>58</v>
      </c>
      <c r="H65" t="s">
        <v>33</v>
      </c>
      <c r="I65">
        <v>2</v>
      </c>
      <c r="J65">
        <f t="shared" si="4"/>
        <v>-10.231991619508165</v>
      </c>
      <c r="K65">
        <v>2.8722813232690055E-2</v>
      </c>
      <c r="L65" t="s">
        <v>31</v>
      </c>
      <c r="M65" t="s">
        <v>31</v>
      </c>
      <c r="N65" t="s">
        <v>31</v>
      </c>
      <c r="Q65" s="123" t="s">
        <v>523</v>
      </c>
      <c r="R65" s="128">
        <v>36</v>
      </c>
      <c r="S65" t="s">
        <v>221</v>
      </c>
      <c r="T65">
        <f>R65*0.000001</f>
        <v>3.6000000000000001E-5</v>
      </c>
    </row>
    <row r="66" spans="1:20" ht="15.75">
      <c r="A66" s="106" t="s">
        <v>809</v>
      </c>
      <c r="B66">
        <f t="shared" si="3"/>
        <v>3.5E-4</v>
      </c>
      <c r="D66" t="s">
        <v>37</v>
      </c>
      <c r="E66" s="17" t="s">
        <v>40</v>
      </c>
      <c r="F66" t="s">
        <v>29</v>
      </c>
      <c r="G66" s="104" t="s">
        <v>58</v>
      </c>
      <c r="H66" t="s">
        <v>33</v>
      </c>
      <c r="I66">
        <v>2</v>
      </c>
      <c r="J66">
        <f t="shared" si="4"/>
        <v>-7.9575774034808147</v>
      </c>
      <c r="K66">
        <v>2.8722813232690055E-2</v>
      </c>
      <c r="L66" t="s">
        <v>31</v>
      </c>
      <c r="M66" t="s">
        <v>31</v>
      </c>
      <c r="N66" t="s">
        <v>31</v>
      </c>
      <c r="Q66" s="125" t="s">
        <v>523</v>
      </c>
      <c r="R66" s="127">
        <v>350</v>
      </c>
      <c r="S66" t="s">
        <v>221</v>
      </c>
      <c r="T66">
        <f>R66*0.000001</f>
        <v>3.5E-4</v>
      </c>
    </row>
    <row r="67" spans="1:20" ht="15.75">
      <c r="A67" s="47" t="s">
        <v>825</v>
      </c>
      <c r="B67">
        <f t="shared" si="3"/>
        <v>1.8E-5</v>
      </c>
      <c r="D67" t="s">
        <v>37</v>
      </c>
      <c r="E67" s="17" t="s">
        <v>40</v>
      </c>
      <c r="F67" t="s">
        <v>29</v>
      </c>
      <c r="G67" s="104" t="s">
        <v>58</v>
      </c>
      <c r="H67" t="s">
        <v>33</v>
      </c>
      <c r="I67">
        <v>2</v>
      </c>
      <c r="J67">
        <f t="shared" si="4"/>
        <v>-10.92513880006811</v>
      </c>
      <c r="K67">
        <v>2.8722813232690055E-2</v>
      </c>
      <c r="L67" t="s">
        <v>31</v>
      </c>
      <c r="M67" t="s">
        <v>31</v>
      </c>
      <c r="N67" t="s">
        <v>31</v>
      </c>
      <c r="Q67" s="123" t="s">
        <v>523</v>
      </c>
      <c r="R67" s="128">
        <v>18</v>
      </c>
      <c r="S67" t="s">
        <v>221</v>
      </c>
      <c r="T67">
        <f>R67*0.000001</f>
        <v>1.8E-5</v>
      </c>
    </row>
    <row r="68" spans="1:20" ht="15.75">
      <c r="A68" s="47" t="s">
        <v>826</v>
      </c>
      <c r="B68">
        <f t="shared" si="3"/>
        <v>5.7000000000000002E-3</v>
      </c>
      <c r="D68" t="s">
        <v>37</v>
      </c>
      <c r="E68" s="17" t="s">
        <v>40</v>
      </c>
      <c r="F68" t="s">
        <v>29</v>
      </c>
      <c r="G68" s="104" t="s">
        <v>58</v>
      </c>
      <c r="H68" t="s">
        <v>33</v>
      </c>
      <c r="I68">
        <v>2</v>
      </c>
      <c r="J68">
        <f t="shared" si="4"/>
        <v>-5.1672891041416324</v>
      </c>
      <c r="K68">
        <v>2.8722813232690055E-2</v>
      </c>
      <c r="L68" t="s">
        <v>31</v>
      </c>
      <c r="M68" t="s">
        <v>31</v>
      </c>
      <c r="N68" t="s">
        <v>31</v>
      </c>
      <c r="Q68" s="125" t="s">
        <v>575</v>
      </c>
      <c r="R68" s="126">
        <v>5.7</v>
      </c>
      <c r="S68" t="s">
        <v>221</v>
      </c>
      <c r="T68">
        <f>R68*0.001</f>
        <v>5.7000000000000002E-3</v>
      </c>
    </row>
    <row r="69" spans="1:20" ht="15.75">
      <c r="A69" s="106" t="s">
        <v>810</v>
      </c>
      <c r="B69">
        <f t="shared" si="3"/>
        <v>2.9999999999999997E-4</v>
      </c>
      <c r="D69" t="s">
        <v>37</v>
      </c>
      <c r="E69" s="17" t="s">
        <v>40</v>
      </c>
      <c r="F69" t="s">
        <v>29</v>
      </c>
      <c r="G69" s="104" t="s">
        <v>58</v>
      </c>
      <c r="H69" t="s">
        <v>33</v>
      </c>
      <c r="I69">
        <v>2</v>
      </c>
      <c r="J69">
        <f t="shared" si="4"/>
        <v>-8.1117280833080727</v>
      </c>
      <c r="K69">
        <v>2.8722813232690055E-2</v>
      </c>
      <c r="L69" t="s">
        <v>31</v>
      </c>
      <c r="M69" t="s">
        <v>31</v>
      </c>
      <c r="N69" t="s">
        <v>31</v>
      </c>
      <c r="Q69" s="123" t="s">
        <v>523</v>
      </c>
      <c r="R69" s="128">
        <v>300</v>
      </c>
      <c r="S69" t="s">
        <v>221</v>
      </c>
      <c r="T69">
        <f>R69*0.000001</f>
        <v>2.9999999999999997E-4</v>
      </c>
    </row>
    <row r="70" spans="1:20" ht="15.75">
      <c r="A70" s="106" t="s">
        <v>812</v>
      </c>
      <c r="B70">
        <f t="shared" si="3"/>
        <v>5.4000000000000001E-4</v>
      </c>
      <c r="D70" t="s">
        <v>37</v>
      </c>
      <c r="E70" s="17" t="s">
        <v>40</v>
      </c>
      <c r="F70" t="s">
        <v>29</v>
      </c>
      <c r="G70" s="104" t="s">
        <v>58</v>
      </c>
      <c r="H70" t="s">
        <v>33</v>
      </c>
      <c r="I70">
        <v>2</v>
      </c>
      <c r="J70">
        <f t="shared" si="4"/>
        <v>-7.5239414184059541</v>
      </c>
      <c r="K70">
        <v>2.8722813232690055E-2</v>
      </c>
      <c r="L70" t="s">
        <v>31</v>
      </c>
      <c r="M70" t="s">
        <v>31</v>
      </c>
      <c r="N70" t="s">
        <v>31</v>
      </c>
      <c r="Q70" s="125" t="s">
        <v>523</v>
      </c>
      <c r="R70" s="127">
        <v>540</v>
      </c>
      <c r="S70" t="s">
        <v>221</v>
      </c>
      <c r="T70">
        <f>R70*0.000001</f>
        <v>5.4000000000000001E-4</v>
      </c>
    </row>
    <row r="75" spans="1:20">
      <c r="B75" s="22"/>
      <c r="C75" s="22"/>
    </row>
  </sheetData>
  <pageMargins left="0.7" right="0.7" top="0.75" bottom="0.75" header="0.3" footer="0.3"/>
  <pageSetup paperSize="9"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220A8-FF5C-4F0E-8A3C-9F98ACB5CCC5}">
  <sheetPr>
    <tabColor theme="5" tint="0.79998168889431442"/>
  </sheetPr>
  <dimension ref="A1:AC41"/>
  <sheetViews>
    <sheetView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CFA14D4EA6D14066B4809C019DDD4523</v>
      </c>
    </row>
    <row r="2" spans="1:26" ht="15.75">
      <c r="A2" s="99" t="s">
        <v>5</v>
      </c>
      <c r="B2" s="100" t="s">
        <v>1831</v>
      </c>
      <c r="C2" s="39"/>
      <c r="D2" s="41"/>
      <c r="E2" s="41"/>
      <c r="F2" s="41"/>
      <c r="G2" s="41"/>
      <c r="H2" s="41"/>
      <c r="I2" s="41"/>
      <c r="J2" s="41"/>
      <c r="K2" s="41"/>
      <c r="L2" s="41"/>
      <c r="M2" s="41"/>
    </row>
    <row r="3" spans="1:26">
      <c r="A3" s="101" t="s">
        <v>7</v>
      </c>
      <c r="B3" t="s">
        <v>1807</v>
      </c>
      <c r="C3" s="102"/>
    </row>
    <row r="4" spans="1:26">
      <c r="A4" s="101" t="s">
        <v>9</v>
      </c>
      <c r="B4" t="s">
        <v>1832</v>
      </c>
      <c r="C4" s="102"/>
    </row>
    <row r="5" spans="1:26" ht="30">
      <c r="A5" s="101" t="s">
        <v>11</v>
      </c>
      <c r="B5" s="103" t="s">
        <v>1833</v>
      </c>
    </row>
    <row r="6" spans="1:26">
      <c r="A6" s="101" t="s">
        <v>13</v>
      </c>
      <c r="B6" t="s">
        <v>14</v>
      </c>
    </row>
    <row r="7" spans="1:26">
      <c r="A7" s="101" t="s">
        <v>15</v>
      </c>
      <c r="B7">
        <v>1</v>
      </c>
    </row>
    <row r="8" spans="1:26">
      <c r="A8" s="101" t="s">
        <v>16</v>
      </c>
      <c r="B8" t="s">
        <v>17</v>
      </c>
    </row>
    <row r="9" spans="1:26">
      <c r="A9" s="101" t="s">
        <v>18</v>
      </c>
      <c r="B9" t="s">
        <v>18</v>
      </c>
    </row>
    <row r="10" spans="1:26" ht="15.75">
      <c r="A10" s="105" t="s">
        <v>19</v>
      </c>
    </row>
    <row r="11" spans="1:26" ht="15.75">
      <c r="A11" s="10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75">
      <c r="A12" s="100" t="s">
        <v>1831</v>
      </c>
      <c r="B12">
        <v>1</v>
      </c>
      <c r="C12" t="s">
        <v>18</v>
      </c>
      <c r="D12" s="17" t="s">
        <v>2</v>
      </c>
      <c r="E12" t="s">
        <v>29</v>
      </c>
      <c r="F12" s="104" t="s">
        <v>14</v>
      </c>
      <c r="G12" t="s">
        <v>30</v>
      </c>
      <c r="H12">
        <v>1</v>
      </c>
      <c r="I12">
        <v>1</v>
      </c>
      <c r="J12" t="s">
        <v>31</v>
      </c>
      <c r="K12" t="s">
        <v>31</v>
      </c>
      <c r="L12" t="s">
        <v>31</v>
      </c>
      <c r="M12" t="s">
        <v>31</v>
      </c>
    </row>
    <row r="13" spans="1:26" ht="15.75">
      <c r="A13" s="135" t="s">
        <v>1820</v>
      </c>
      <c r="B13">
        <f>Z13</f>
        <v>7.8E-2</v>
      </c>
      <c r="C13" t="s">
        <v>37</v>
      </c>
      <c r="D13" s="17" t="s">
        <v>2</v>
      </c>
      <c r="E13" t="s">
        <v>29</v>
      </c>
      <c r="F13" s="104" t="s">
        <v>14</v>
      </c>
      <c r="G13" t="s">
        <v>33</v>
      </c>
      <c r="H13">
        <v>1</v>
      </c>
      <c r="I13">
        <f>B13</f>
        <v>7.8E-2</v>
      </c>
      <c r="J13" t="s">
        <v>31</v>
      </c>
      <c r="K13" t="s">
        <v>31</v>
      </c>
      <c r="L13" t="s">
        <v>31</v>
      </c>
      <c r="M13" t="s">
        <v>31</v>
      </c>
      <c r="U13" s="136" t="s">
        <v>965</v>
      </c>
      <c r="V13" s="136" t="s">
        <v>575</v>
      </c>
      <c r="W13" s="137">
        <v>78</v>
      </c>
      <c r="Y13" t="s">
        <v>221</v>
      </c>
      <c r="Z13">
        <f>0.001*W13</f>
        <v>7.8E-2</v>
      </c>
    </row>
    <row r="14" spans="1:26" ht="15.75">
      <c r="A14" s="135" t="s">
        <v>1825</v>
      </c>
      <c r="B14">
        <f t="shared" ref="B14:B21" si="0">Z14</f>
        <v>9.8000000000000004E-2</v>
      </c>
      <c r="C14" t="s">
        <v>37</v>
      </c>
      <c r="D14" s="17" t="s">
        <v>2</v>
      </c>
      <c r="E14" t="s">
        <v>29</v>
      </c>
      <c r="F14" s="104" t="s">
        <v>14</v>
      </c>
      <c r="G14" t="s">
        <v>33</v>
      </c>
      <c r="H14">
        <v>1</v>
      </c>
      <c r="I14">
        <f t="shared" ref="I14:I30" si="1">B14</f>
        <v>9.8000000000000004E-2</v>
      </c>
      <c r="J14" t="s">
        <v>31</v>
      </c>
      <c r="K14" t="s">
        <v>31</v>
      </c>
      <c r="L14" t="s">
        <v>31</v>
      </c>
      <c r="M14" t="s">
        <v>31</v>
      </c>
      <c r="U14" s="136" t="s">
        <v>966</v>
      </c>
      <c r="V14" s="136" t="s">
        <v>575</v>
      </c>
      <c r="W14" s="137">
        <v>98</v>
      </c>
      <c r="Y14" t="s">
        <v>221</v>
      </c>
      <c r="Z14">
        <f>0.001*W14</f>
        <v>9.8000000000000004E-2</v>
      </c>
    </row>
    <row r="15" spans="1:26" ht="15.75">
      <c r="A15" s="138" t="s">
        <v>829</v>
      </c>
      <c r="B15">
        <f t="shared" si="0"/>
        <v>3.44</v>
      </c>
      <c r="C15" t="s">
        <v>37</v>
      </c>
      <c r="D15" s="17" t="s">
        <v>40</v>
      </c>
      <c r="E15" t="s">
        <v>29</v>
      </c>
      <c r="F15" s="104" t="s">
        <v>58</v>
      </c>
      <c r="G15" t="s">
        <v>33</v>
      </c>
      <c r="H15">
        <v>1</v>
      </c>
      <c r="I15">
        <f t="shared" si="1"/>
        <v>3.44</v>
      </c>
      <c r="J15" t="s">
        <v>31</v>
      </c>
      <c r="K15" t="s">
        <v>31</v>
      </c>
      <c r="L15" t="s">
        <v>31</v>
      </c>
      <c r="M15" t="s">
        <v>31</v>
      </c>
      <c r="U15" s="136" t="s">
        <v>967</v>
      </c>
      <c r="V15" s="136" t="s">
        <v>221</v>
      </c>
      <c r="W15" s="137">
        <v>3.44</v>
      </c>
      <c r="Y15" t="s">
        <v>221</v>
      </c>
      <c r="Z15">
        <f>W15</f>
        <v>3.44</v>
      </c>
    </row>
    <row r="16" spans="1:26" ht="15.75">
      <c r="A16" s="135" t="s">
        <v>1834</v>
      </c>
      <c r="B16">
        <f t="shared" si="0"/>
        <v>3.6</v>
      </c>
      <c r="C16" t="s">
        <v>37</v>
      </c>
      <c r="D16" s="17" t="s">
        <v>2</v>
      </c>
      <c r="E16" t="s">
        <v>29</v>
      </c>
      <c r="F16" s="104" t="s">
        <v>14</v>
      </c>
      <c r="G16" t="s">
        <v>33</v>
      </c>
      <c r="H16">
        <v>1</v>
      </c>
      <c r="I16">
        <f t="shared" si="1"/>
        <v>3.6</v>
      </c>
      <c r="J16" t="s">
        <v>31</v>
      </c>
      <c r="K16" t="s">
        <v>31</v>
      </c>
      <c r="L16" t="s">
        <v>31</v>
      </c>
      <c r="M16" t="s">
        <v>31</v>
      </c>
      <c r="U16" s="136" t="s">
        <v>969</v>
      </c>
      <c r="V16" s="136" t="s">
        <v>221</v>
      </c>
      <c r="W16" s="137">
        <v>3.6</v>
      </c>
      <c r="Y16" t="s">
        <v>221</v>
      </c>
      <c r="Z16">
        <f>W16</f>
        <v>3.6</v>
      </c>
    </row>
    <row r="17" spans="1:29" ht="15.75">
      <c r="A17" s="139" t="s">
        <v>1835</v>
      </c>
      <c r="B17">
        <f t="shared" si="0"/>
        <v>4.083333333333334E-2</v>
      </c>
      <c r="C17" t="s">
        <v>113</v>
      </c>
      <c r="D17" s="17" t="s">
        <v>2</v>
      </c>
      <c r="E17" t="s">
        <v>29</v>
      </c>
      <c r="F17" s="104" t="s">
        <v>14</v>
      </c>
      <c r="G17" t="s">
        <v>33</v>
      </c>
      <c r="H17">
        <v>1</v>
      </c>
      <c r="I17">
        <f t="shared" si="1"/>
        <v>4.083333333333334E-2</v>
      </c>
      <c r="J17" t="s">
        <v>31</v>
      </c>
      <c r="K17" t="s">
        <v>31</v>
      </c>
      <c r="L17" t="s">
        <v>31</v>
      </c>
      <c r="M17" t="s">
        <v>31</v>
      </c>
      <c r="O17" t="s">
        <v>971</v>
      </c>
      <c r="U17" s="140" t="s">
        <v>972</v>
      </c>
      <c r="V17" s="140" t="s">
        <v>575</v>
      </c>
      <c r="W17" s="137">
        <v>245</v>
      </c>
      <c r="Y17" t="s">
        <v>605</v>
      </c>
      <c r="Z17">
        <f>W17*0.001/AB17</f>
        <v>4.083333333333334E-2</v>
      </c>
      <c r="AB17">
        <f>A.Reused!O36</f>
        <v>5.9999999999999991</v>
      </c>
      <c r="AC17" t="s">
        <v>886</v>
      </c>
    </row>
    <row r="18" spans="1:29" ht="15.75">
      <c r="A18" s="135" t="s">
        <v>1836</v>
      </c>
      <c r="B18">
        <f t="shared" si="0"/>
        <v>1.419</v>
      </c>
      <c r="C18" t="s">
        <v>37</v>
      </c>
      <c r="D18" s="17" t="s">
        <v>2</v>
      </c>
      <c r="E18" t="s">
        <v>29</v>
      </c>
      <c r="F18" s="104" t="s">
        <v>14</v>
      </c>
      <c r="G18" t="s">
        <v>33</v>
      </c>
      <c r="H18">
        <v>1</v>
      </c>
      <c r="I18">
        <f t="shared" si="1"/>
        <v>1.419</v>
      </c>
      <c r="J18" t="s">
        <v>31</v>
      </c>
      <c r="K18" t="s">
        <v>31</v>
      </c>
      <c r="L18" t="s">
        <v>31</v>
      </c>
      <c r="M18" t="s">
        <v>31</v>
      </c>
      <c r="U18" s="140" t="s">
        <v>974</v>
      </c>
      <c r="V18" s="136" t="s">
        <v>575</v>
      </c>
      <c r="W18" s="137">
        <v>1419</v>
      </c>
      <c r="Y18" t="s">
        <v>221</v>
      </c>
      <c r="Z18">
        <f>0.001*W18</f>
        <v>1.419</v>
      </c>
    </row>
    <row r="19" spans="1:29" ht="15.75">
      <c r="A19" s="141" t="s">
        <v>834</v>
      </c>
      <c r="B19">
        <f t="shared" si="0"/>
        <v>7.0000000000000001E-3</v>
      </c>
      <c r="C19" t="s">
        <v>37</v>
      </c>
      <c r="D19" s="17" t="s">
        <v>40</v>
      </c>
      <c r="E19" t="s">
        <v>29</v>
      </c>
      <c r="F19" s="104" t="s">
        <v>35</v>
      </c>
      <c r="G19" t="s">
        <v>33</v>
      </c>
      <c r="H19">
        <v>1</v>
      </c>
      <c r="I19">
        <f t="shared" si="1"/>
        <v>7.0000000000000001E-3</v>
      </c>
      <c r="J19" t="s">
        <v>31</v>
      </c>
      <c r="K19" t="s">
        <v>31</v>
      </c>
      <c r="L19" t="s">
        <v>31</v>
      </c>
      <c r="M19" t="s">
        <v>31</v>
      </c>
      <c r="N19" s="106" t="s">
        <v>835</v>
      </c>
      <c r="U19" s="136" t="s">
        <v>835</v>
      </c>
      <c r="V19" s="136" t="s">
        <v>575</v>
      </c>
      <c r="W19" s="137">
        <v>7</v>
      </c>
      <c r="Y19" t="s">
        <v>221</v>
      </c>
      <c r="Z19">
        <f>0.001*W19</f>
        <v>7.0000000000000001E-3</v>
      </c>
    </row>
    <row r="20" spans="1:29" ht="15.75">
      <c r="A20" s="142" t="s">
        <v>601</v>
      </c>
      <c r="B20">
        <f t="shared" si="0"/>
        <v>4.3999999999999997E-2</v>
      </c>
      <c r="C20" t="s">
        <v>37</v>
      </c>
      <c r="D20" s="17" t="s">
        <v>40</v>
      </c>
      <c r="E20" t="s">
        <v>29</v>
      </c>
      <c r="F20" s="104" t="s">
        <v>35</v>
      </c>
      <c r="G20" t="s">
        <v>33</v>
      </c>
      <c r="H20">
        <v>1</v>
      </c>
      <c r="I20">
        <f t="shared" si="1"/>
        <v>4.3999999999999997E-2</v>
      </c>
      <c r="J20" t="s">
        <v>31</v>
      </c>
      <c r="K20" t="s">
        <v>31</v>
      </c>
      <c r="L20" t="s">
        <v>31</v>
      </c>
      <c r="M20" t="s">
        <v>31</v>
      </c>
      <c r="N20" s="106" t="s">
        <v>836</v>
      </c>
      <c r="U20" s="140" t="s">
        <v>836</v>
      </c>
      <c r="V20" s="136" t="s">
        <v>575</v>
      </c>
      <c r="W20" s="137">
        <v>44</v>
      </c>
      <c r="Y20" t="s">
        <v>221</v>
      </c>
      <c r="Z20">
        <f t="shared" ref="Z20:Z22" si="2">0.001*W20</f>
        <v>4.3999999999999997E-2</v>
      </c>
    </row>
    <row r="21" spans="1:29" ht="15.75">
      <c r="A21" s="141" t="s">
        <v>834</v>
      </c>
      <c r="B21">
        <f t="shared" si="0"/>
        <v>2E-3</v>
      </c>
      <c r="C21" t="s">
        <v>37</v>
      </c>
      <c r="D21" s="17" t="s">
        <v>40</v>
      </c>
      <c r="E21" t="s">
        <v>29</v>
      </c>
      <c r="F21" s="104" t="s">
        <v>35</v>
      </c>
      <c r="G21" t="s">
        <v>33</v>
      </c>
      <c r="H21">
        <v>1</v>
      </c>
      <c r="I21">
        <f t="shared" si="1"/>
        <v>2E-3</v>
      </c>
      <c r="J21" t="s">
        <v>31</v>
      </c>
      <c r="K21" t="s">
        <v>31</v>
      </c>
      <c r="L21" t="s">
        <v>31</v>
      </c>
      <c r="M21" t="s">
        <v>31</v>
      </c>
      <c r="N21" s="106" t="s">
        <v>837</v>
      </c>
      <c r="U21" s="140" t="s">
        <v>837</v>
      </c>
      <c r="V21" s="136" t="s">
        <v>575</v>
      </c>
      <c r="W21" s="137">
        <v>2</v>
      </c>
      <c r="Y21" t="s">
        <v>221</v>
      </c>
      <c r="Z21">
        <f t="shared" si="2"/>
        <v>2E-3</v>
      </c>
    </row>
    <row r="22" spans="1:29" ht="15.75">
      <c r="A22" s="142" t="s">
        <v>975</v>
      </c>
      <c r="B22">
        <f>Z21</f>
        <v>2E-3</v>
      </c>
      <c r="C22" t="s">
        <v>37</v>
      </c>
      <c r="D22" s="17" t="s">
        <v>40</v>
      </c>
      <c r="E22" t="s">
        <v>29</v>
      </c>
      <c r="F22" s="104" t="s">
        <v>35</v>
      </c>
      <c r="G22" t="s">
        <v>33</v>
      </c>
      <c r="H22">
        <v>1</v>
      </c>
      <c r="I22">
        <f t="shared" si="1"/>
        <v>2E-3</v>
      </c>
      <c r="J22" t="s">
        <v>31</v>
      </c>
      <c r="K22" t="s">
        <v>31</v>
      </c>
      <c r="L22" t="s">
        <v>31</v>
      </c>
      <c r="M22" t="s">
        <v>31</v>
      </c>
      <c r="N22" s="106" t="s">
        <v>837</v>
      </c>
      <c r="U22" s="140" t="s">
        <v>837</v>
      </c>
      <c r="V22" s="136" t="s">
        <v>575</v>
      </c>
      <c r="W22" s="137">
        <v>2</v>
      </c>
      <c r="Y22" t="s">
        <v>221</v>
      </c>
      <c r="Z22">
        <f t="shared" si="2"/>
        <v>2E-3</v>
      </c>
    </row>
    <row r="23" spans="1:29" ht="15.75">
      <c r="A23" s="138" t="s">
        <v>1817</v>
      </c>
      <c r="B23">
        <f t="shared" ref="B23:B27" si="3">Z22</f>
        <v>2E-3</v>
      </c>
      <c r="C23" t="s">
        <v>37</v>
      </c>
      <c r="D23" s="17" t="s">
        <v>2</v>
      </c>
      <c r="E23" t="s">
        <v>29</v>
      </c>
      <c r="F23" s="104" t="s">
        <v>14</v>
      </c>
      <c r="G23" t="s">
        <v>33</v>
      </c>
      <c r="H23">
        <v>1</v>
      </c>
      <c r="I23">
        <f t="shared" si="1"/>
        <v>2E-3</v>
      </c>
      <c r="J23" t="s">
        <v>31</v>
      </c>
      <c r="K23" t="s">
        <v>31</v>
      </c>
      <c r="L23" t="s">
        <v>31</v>
      </c>
      <c r="M23" t="s">
        <v>31</v>
      </c>
      <c r="N23" s="106" t="s">
        <v>1817</v>
      </c>
      <c r="U23" s="136" t="s">
        <v>1817</v>
      </c>
      <c r="V23" s="136" t="s">
        <v>221</v>
      </c>
      <c r="W23" s="137">
        <v>3.3</v>
      </c>
      <c r="Y23" t="s">
        <v>221</v>
      </c>
      <c r="Z23">
        <f>W23</f>
        <v>3.3</v>
      </c>
    </row>
    <row r="24" spans="1:29" ht="15.75">
      <c r="A24" s="135" t="s">
        <v>1837</v>
      </c>
      <c r="B24">
        <f t="shared" si="3"/>
        <v>3.3</v>
      </c>
      <c r="C24" t="s">
        <v>37</v>
      </c>
      <c r="D24" s="17" t="s">
        <v>2</v>
      </c>
      <c r="E24" t="s">
        <v>29</v>
      </c>
      <c r="F24" s="104" t="s">
        <v>14</v>
      </c>
      <c r="G24" t="s">
        <v>33</v>
      </c>
      <c r="H24">
        <v>1</v>
      </c>
      <c r="I24">
        <f t="shared" si="1"/>
        <v>3.3</v>
      </c>
      <c r="J24" t="s">
        <v>31</v>
      </c>
      <c r="K24" t="s">
        <v>31</v>
      </c>
      <c r="L24" t="s">
        <v>31</v>
      </c>
      <c r="M24" t="s">
        <v>31</v>
      </c>
      <c r="N24" s="106"/>
      <c r="U24" s="136" t="s">
        <v>979</v>
      </c>
      <c r="V24" s="143" t="s">
        <v>221</v>
      </c>
      <c r="W24" s="137">
        <v>9.4600000000000009</v>
      </c>
      <c r="Y24" t="s">
        <v>221</v>
      </c>
      <c r="Z24">
        <f>W24</f>
        <v>9.4600000000000009</v>
      </c>
    </row>
    <row r="25" spans="1:29" ht="15.75">
      <c r="A25" s="144" t="s">
        <v>842</v>
      </c>
      <c r="B25" s="23">
        <f>'A. Machined casing'!B7</f>
        <v>9.4499999999999993</v>
      </c>
      <c r="C25" t="s">
        <v>37</v>
      </c>
      <c r="D25" s="17" t="s">
        <v>40</v>
      </c>
      <c r="E25" t="s">
        <v>29</v>
      </c>
      <c r="F25" s="104" t="s">
        <v>128</v>
      </c>
      <c r="G25" t="s">
        <v>33</v>
      </c>
      <c r="H25">
        <v>1</v>
      </c>
      <c r="I25">
        <f t="shared" si="1"/>
        <v>9.4499999999999993</v>
      </c>
      <c r="J25" t="s">
        <v>31</v>
      </c>
      <c r="K25" t="s">
        <v>31</v>
      </c>
      <c r="L25" t="s">
        <v>31</v>
      </c>
      <c r="M25" t="s">
        <v>31</v>
      </c>
      <c r="N25" s="106" t="s">
        <v>843</v>
      </c>
      <c r="U25" s="119" t="s">
        <v>843</v>
      </c>
      <c r="V25" s="119" t="s">
        <v>575</v>
      </c>
      <c r="W25" s="145">
        <v>54</v>
      </c>
      <c r="Y25" t="s">
        <v>221</v>
      </c>
      <c r="Z25">
        <f>0.001*W25</f>
        <v>5.3999999999999999E-2</v>
      </c>
    </row>
    <row r="26" spans="1:29" ht="15.75">
      <c r="A26" s="144" t="s">
        <v>844</v>
      </c>
      <c r="B26">
        <f>Z25</f>
        <v>5.3999999999999999E-2</v>
      </c>
      <c r="C26" t="s">
        <v>37</v>
      </c>
      <c r="D26" s="17" t="s">
        <v>40</v>
      </c>
      <c r="E26" t="s">
        <v>29</v>
      </c>
      <c r="F26" s="104" t="s">
        <v>58</v>
      </c>
      <c r="G26" t="s">
        <v>33</v>
      </c>
      <c r="H26">
        <v>1</v>
      </c>
      <c r="I26">
        <f t="shared" si="1"/>
        <v>5.3999999999999999E-2</v>
      </c>
      <c r="J26" t="s">
        <v>31</v>
      </c>
      <c r="K26" t="s">
        <v>31</v>
      </c>
      <c r="L26" t="s">
        <v>31</v>
      </c>
      <c r="M26" t="s">
        <v>31</v>
      </c>
      <c r="N26" t="s">
        <v>845</v>
      </c>
      <c r="U26" s="119" t="s">
        <v>845</v>
      </c>
      <c r="V26" s="119" t="s">
        <v>575</v>
      </c>
      <c r="W26" s="145">
        <v>12</v>
      </c>
      <c r="Y26" t="s">
        <v>221</v>
      </c>
      <c r="Z26">
        <f>0.001*W26</f>
        <v>1.2E-2</v>
      </c>
    </row>
    <row r="27" spans="1:29" ht="15.75">
      <c r="A27" s="144" t="s">
        <v>601</v>
      </c>
      <c r="B27">
        <f t="shared" si="3"/>
        <v>1.2E-2</v>
      </c>
      <c r="C27" t="s">
        <v>37</v>
      </c>
      <c r="D27" s="17" t="s">
        <v>40</v>
      </c>
      <c r="E27" t="s">
        <v>29</v>
      </c>
      <c r="F27" s="104" t="s">
        <v>35</v>
      </c>
      <c r="G27" t="s">
        <v>33</v>
      </c>
      <c r="H27">
        <v>1</v>
      </c>
      <c r="I27">
        <f t="shared" si="1"/>
        <v>1.2E-2</v>
      </c>
      <c r="J27" t="s">
        <v>31</v>
      </c>
      <c r="K27" t="s">
        <v>31</v>
      </c>
      <c r="L27" t="s">
        <v>31</v>
      </c>
      <c r="M27" t="s">
        <v>31</v>
      </c>
      <c r="N27" t="s">
        <v>846</v>
      </c>
      <c r="U27" s="119" t="s">
        <v>846</v>
      </c>
      <c r="V27" s="119" t="s">
        <v>575</v>
      </c>
      <c r="W27" s="145">
        <v>12</v>
      </c>
      <c r="Y27" t="s">
        <v>221</v>
      </c>
      <c r="Z27">
        <f>0.001*W27</f>
        <v>1.2E-2</v>
      </c>
    </row>
    <row r="28" spans="1:29" ht="15.75">
      <c r="A28" s="146" t="s">
        <v>38</v>
      </c>
      <c r="B28">
        <f>1.5+0.6</f>
        <v>2.1</v>
      </c>
      <c r="C28" t="s">
        <v>39</v>
      </c>
      <c r="D28" s="17" t="s">
        <v>40</v>
      </c>
      <c r="E28" t="s">
        <v>29</v>
      </c>
      <c r="F28" t="s">
        <v>14</v>
      </c>
      <c r="G28" t="s">
        <v>33</v>
      </c>
      <c r="H28">
        <v>1</v>
      </c>
      <c r="I28">
        <f t="shared" si="1"/>
        <v>2.1</v>
      </c>
      <c r="J28" t="s">
        <v>31</v>
      </c>
      <c r="K28" t="s">
        <v>31</v>
      </c>
      <c r="L28" t="s">
        <v>31</v>
      </c>
      <c r="M28" t="s">
        <v>31</v>
      </c>
      <c r="N28" t="s">
        <v>980</v>
      </c>
      <c r="U28" s="136"/>
      <c r="V28" s="143"/>
      <c r="W28" s="137"/>
    </row>
    <row r="29" spans="1:29" ht="15.75">
      <c r="A29" s="146" t="s">
        <v>38</v>
      </c>
      <c r="B29">
        <v>5.6</v>
      </c>
      <c r="C29" t="s">
        <v>39</v>
      </c>
      <c r="D29" s="17" t="s">
        <v>40</v>
      </c>
      <c r="E29" t="s">
        <v>29</v>
      </c>
      <c r="F29" t="s">
        <v>14</v>
      </c>
      <c r="G29" t="s">
        <v>33</v>
      </c>
      <c r="H29">
        <v>1</v>
      </c>
      <c r="I29">
        <f t="shared" si="1"/>
        <v>5.6</v>
      </c>
      <c r="J29" t="s">
        <v>31</v>
      </c>
      <c r="K29" t="s">
        <v>31</v>
      </c>
      <c r="L29" t="s">
        <v>31</v>
      </c>
      <c r="M29" t="s">
        <v>31</v>
      </c>
      <c r="N29" t="s">
        <v>848</v>
      </c>
    </row>
    <row r="30" spans="1:29" ht="15.75">
      <c r="A30" s="146" t="s">
        <v>38</v>
      </c>
      <c r="B30">
        <v>1.5</v>
      </c>
      <c r="C30" t="s">
        <v>39</v>
      </c>
      <c r="D30" s="17" t="s">
        <v>40</v>
      </c>
      <c r="E30" t="s">
        <v>29</v>
      </c>
      <c r="F30" t="s">
        <v>14</v>
      </c>
      <c r="G30" t="s">
        <v>33</v>
      </c>
      <c r="H30">
        <v>1</v>
      </c>
      <c r="I30">
        <f t="shared" si="1"/>
        <v>1.5</v>
      </c>
      <c r="J30" t="s">
        <v>31</v>
      </c>
      <c r="K30" t="s">
        <v>31</v>
      </c>
      <c r="L30" t="s">
        <v>31</v>
      </c>
      <c r="M30" t="s">
        <v>31</v>
      </c>
      <c r="N30" t="s">
        <v>849</v>
      </c>
    </row>
    <row r="31" spans="1:29" ht="15.75">
      <c r="A31" s="99"/>
      <c r="B31" s="100"/>
      <c r="C31" s="39"/>
      <c r="D31" s="41"/>
      <c r="E31" s="41"/>
      <c r="F31" s="41"/>
      <c r="G31" s="41"/>
      <c r="H31" s="41"/>
      <c r="I31" s="41"/>
      <c r="J31" s="41"/>
      <c r="K31" s="41"/>
      <c r="L31" s="41"/>
      <c r="M31" s="41"/>
    </row>
    <row r="32" spans="1:29">
      <c r="A32" s="101"/>
      <c r="C32" s="102"/>
      <c r="N32" s="147" t="s">
        <v>1838</v>
      </c>
    </row>
    <row r="33" spans="1:14">
      <c r="A33" s="101"/>
      <c r="C33" s="102"/>
      <c r="N33" s="147">
        <f>SUM(B13:B27)-B17+0.245</f>
        <v>21.753000000000004</v>
      </c>
    </row>
    <row r="34" spans="1:14">
      <c r="A34" s="101"/>
      <c r="B34" s="103"/>
    </row>
    <row r="35" spans="1:14" ht="15.75">
      <c r="A35" s="106"/>
      <c r="D35" s="17"/>
      <c r="F35" s="104"/>
    </row>
    <row r="36" spans="1:14" ht="15.75">
      <c r="D36" s="17"/>
      <c r="F36" s="104"/>
    </row>
    <row r="37" spans="1:14" ht="15.75">
      <c r="A37" s="106"/>
      <c r="D37" s="17"/>
      <c r="F37" s="104"/>
    </row>
    <row r="38" spans="1:14" ht="15.75">
      <c r="A38" s="106"/>
      <c r="D38" s="17"/>
      <c r="F38" s="104"/>
    </row>
    <row r="39" spans="1:14" ht="15.75">
      <c r="A39" s="17"/>
      <c r="D39" s="17"/>
      <c r="F39" s="104"/>
    </row>
    <row r="40" spans="1:14" ht="15.75">
      <c r="A40" s="17"/>
      <c r="D40" s="17"/>
    </row>
    <row r="41" spans="1:14" ht="15.75">
      <c r="A41" s="106"/>
      <c r="D41" s="17"/>
    </row>
  </sheetData>
  <pageMargins left="0.7" right="0.7" top="0.75" bottom="0.75" header="0.3" footer="0.3"/>
  <pageSetup paperSize="9"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1CD0A-FBFC-47C7-81F0-BE68897A2CB1}">
  <sheetPr>
    <tabColor theme="5" tint="0.79998168889431442"/>
  </sheetPr>
  <dimension ref="A1:U62"/>
  <sheetViews>
    <sheetView topLeftCell="A27" zoomScaleNormal="100" workbookViewId="0">
      <selection activeCell="B13" sqref="B13"/>
    </sheetView>
  </sheetViews>
  <sheetFormatPr defaultRowHeight="1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75">
      <c r="A2" s="107" t="s">
        <v>5</v>
      </c>
      <c r="B2" s="148" t="s">
        <v>1835</v>
      </c>
      <c r="C2" s="39"/>
      <c r="D2" s="41"/>
      <c r="E2" s="41"/>
      <c r="F2" s="41"/>
      <c r="G2" s="41"/>
      <c r="H2" s="41"/>
      <c r="I2" s="41"/>
      <c r="J2" s="41"/>
      <c r="K2" s="41"/>
      <c r="L2" s="41"/>
      <c r="M2" s="41"/>
      <c r="N2" s="41"/>
      <c r="O2" s="41"/>
      <c r="P2" s="41"/>
      <c r="Q2" s="41"/>
      <c r="R2" s="41"/>
    </row>
    <row r="3" spans="1:21">
      <c r="A3" s="109" t="s">
        <v>7</v>
      </c>
      <c r="B3" t="s">
        <v>1807</v>
      </c>
      <c r="C3" s="102"/>
    </row>
    <row r="4" spans="1:21">
      <c r="A4" s="109" t="s">
        <v>9</v>
      </c>
      <c r="B4" t="s">
        <v>1839</v>
      </c>
      <c r="C4" s="102"/>
      <c r="U4" s="129"/>
    </row>
    <row r="5" spans="1:21" ht="12.75" customHeight="1">
      <c r="A5" s="109" t="s">
        <v>11</v>
      </c>
      <c r="B5" s="103" t="s">
        <v>789</v>
      </c>
    </row>
    <row r="6" spans="1:21">
      <c r="A6" s="109" t="s">
        <v>13</v>
      </c>
      <c r="B6" t="s">
        <v>14</v>
      </c>
    </row>
    <row r="7" spans="1:21">
      <c r="A7" s="109" t="s">
        <v>15</v>
      </c>
      <c r="B7">
        <f>B12</f>
        <v>8.0000000000000002E-3</v>
      </c>
    </row>
    <row r="8" spans="1:21">
      <c r="A8" s="109" t="s">
        <v>16</v>
      </c>
      <c r="B8" t="s">
        <v>17</v>
      </c>
    </row>
    <row r="9" spans="1:21">
      <c r="A9" s="109" t="s">
        <v>18</v>
      </c>
      <c r="B9" t="s">
        <v>113</v>
      </c>
    </row>
    <row r="10" spans="1:21" ht="15.75">
      <c r="A10" s="110" t="s">
        <v>19</v>
      </c>
    </row>
    <row r="11" spans="1:21" ht="15.75">
      <c r="A11" s="110"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75">
      <c r="A12" s="22" t="s">
        <v>1835</v>
      </c>
      <c r="B12">
        <v>8.0000000000000002E-3</v>
      </c>
      <c r="C12" t="s">
        <v>113</v>
      </c>
      <c r="D12" s="111" t="s">
        <v>2</v>
      </c>
      <c r="E12" t="s">
        <v>29</v>
      </c>
      <c r="F12" s="104" t="s">
        <v>14</v>
      </c>
      <c r="G12" t="s">
        <v>30</v>
      </c>
      <c r="H12">
        <v>1</v>
      </c>
      <c r="I12">
        <f>B12</f>
        <v>8.0000000000000002E-3</v>
      </c>
      <c r="J12" t="s">
        <v>31</v>
      </c>
      <c r="K12" t="s">
        <v>31</v>
      </c>
      <c r="L12" t="s">
        <v>31</v>
      </c>
      <c r="M12" t="s">
        <v>31</v>
      </c>
      <c r="O12" s="149"/>
      <c r="P12" s="150"/>
    </row>
    <row r="13" spans="1:21" ht="15.75">
      <c r="A13" s="22" t="s">
        <v>1840</v>
      </c>
      <c r="B13">
        <f>R13</f>
        <v>4.7999999999999994E-2</v>
      </c>
      <c r="C13" t="s">
        <v>37</v>
      </c>
      <c r="D13" s="111" t="s">
        <v>2</v>
      </c>
      <c r="E13" t="s">
        <v>29</v>
      </c>
      <c r="F13" s="104" t="s">
        <v>14</v>
      </c>
      <c r="G13" t="s">
        <v>33</v>
      </c>
      <c r="H13">
        <v>1</v>
      </c>
      <c r="I13">
        <f t="shared" ref="I13:I14" si="0">B13</f>
        <v>4.7999999999999994E-2</v>
      </c>
      <c r="J13" t="s">
        <v>31</v>
      </c>
      <c r="K13" t="s">
        <v>31</v>
      </c>
      <c r="L13" t="s">
        <v>31</v>
      </c>
      <c r="M13" t="s">
        <v>31</v>
      </c>
      <c r="O13" s="147" t="s">
        <v>1841</v>
      </c>
      <c r="P13">
        <f>0.3/0.05</f>
        <v>5.9999999999999991</v>
      </c>
      <c r="Q13" t="s">
        <v>886</v>
      </c>
      <c r="R13">
        <f>P13*B12</f>
        <v>4.7999999999999994E-2</v>
      </c>
    </row>
    <row r="14" spans="1:21" ht="15.75">
      <c r="A14" s="22" t="s">
        <v>1842</v>
      </c>
      <c r="B14">
        <v>3.5999999999999997E-2</v>
      </c>
      <c r="C14" t="s">
        <v>113</v>
      </c>
      <c r="D14" s="111" t="s">
        <v>2</v>
      </c>
      <c r="E14" t="s">
        <v>29</v>
      </c>
      <c r="F14" s="104" t="s">
        <v>14</v>
      </c>
      <c r="G14" t="s">
        <v>33</v>
      </c>
      <c r="H14">
        <v>1</v>
      </c>
      <c r="I14">
        <f t="shared" si="0"/>
        <v>3.5999999999999997E-2</v>
      </c>
      <c r="J14" t="s">
        <v>31</v>
      </c>
      <c r="K14" t="s">
        <v>31</v>
      </c>
      <c r="L14" t="s">
        <v>31</v>
      </c>
      <c r="M14" t="s">
        <v>31</v>
      </c>
    </row>
    <row r="15" spans="1:21" ht="15.75">
      <c r="A15" s="61" t="s">
        <v>792</v>
      </c>
      <c r="B15">
        <f>P15</f>
        <v>0.1</v>
      </c>
      <c r="C15" t="s">
        <v>37</v>
      </c>
      <c r="D15" s="17" t="s">
        <v>40</v>
      </c>
      <c r="E15" t="s">
        <v>29</v>
      </c>
      <c r="F15" s="104" t="s">
        <v>741</v>
      </c>
      <c r="G15" t="s">
        <v>33</v>
      </c>
      <c r="H15">
        <v>2</v>
      </c>
      <c r="I15">
        <f>LN(B15)</f>
        <v>-2.3025850929940455</v>
      </c>
      <c r="J15" s="151">
        <v>0.11236102527122109</v>
      </c>
      <c r="K15" t="s">
        <v>31</v>
      </c>
      <c r="L15" t="s">
        <v>31</v>
      </c>
      <c r="M15" t="s">
        <v>31</v>
      </c>
      <c r="O15" s="119" t="s">
        <v>221</v>
      </c>
      <c r="P15" s="120">
        <v>0.1</v>
      </c>
    </row>
    <row r="16" spans="1:21" ht="15.75">
      <c r="A16" s="61" t="s">
        <v>857</v>
      </c>
      <c r="B16" s="116">
        <f>Q16</f>
        <v>6.6999999999999996E-9</v>
      </c>
      <c r="C16" t="s">
        <v>37</v>
      </c>
      <c r="D16" s="17" t="s">
        <v>40</v>
      </c>
      <c r="E16" t="s">
        <v>29</v>
      </c>
      <c r="F16" s="104" t="s">
        <v>58</v>
      </c>
      <c r="G16" t="s">
        <v>33</v>
      </c>
      <c r="H16">
        <v>2</v>
      </c>
      <c r="I16">
        <f t="shared" ref="I16:I17" si="1">LN(B16)</f>
        <v>-18.821158310549492</v>
      </c>
      <c r="J16" s="151">
        <v>0.11236102527122109</v>
      </c>
      <c r="K16" t="s">
        <v>31</v>
      </c>
      <c r="L16" t="s">
        <v>31</v>
      </c>
      <c r="M16" t="s">
        <v>31</v>
      </c>
      <c r="O16" s="152" t="s">
        <v>523</v>
      </c>
      <c r="P16" s="153">
        <v>6.7000000000000002E-3</v>
      </c>
      <c r="Q16" s="116">
        <f>P16*10^(-6)</f>
        <v>6.6999999999999996E-9</v>
      </c>
      <c r="R16" t="s">
        <v>37</v>
      </c>
    </row>
    <row r="17" spans="1:18" ht="15.75">
      <c r="A17" s="61" t="s">
        <v>226</v>
      </c>
      <c r="B17">
        <f>Q17</f>
        <v>1E-4</v>
      </c>
      <c r="C17" t="s">
        <v>42</v>
      </c>
      <c r="D17" s="17" t="s">
        <v>40</v>
      </c>
      <c r="E17" t="s">
        <v>29</v>
      </c>
      <c r="F17" s="104" t="s">
        <v>741</v>
      </c>
      <c r="G17" t="s">
        <v>33</v>
      </c>
      <c r="H17">
        <v>2</v>
      </c>
      <c r="I17">
        <f t="shared" si="1"/>
        <v>-9.2103403719761818</v>
      </c>
      <c r="J17" s="151">
        <v>0.11236102527122109</v>
      </c>
      <c r="K17" t="s">
        <v>31</v>
      </c>
      <c r="L17" t="s">
        <v>31</v>
      </c>
      <c r="M17" t="s">
        <v>31</v>
      </c>
      <c r="O17" s="154" t="s">
        <v>858</v>
      </c>
      <c r="P17" s="155">
        <v>0.1</v>
      </c>
      <c r="Q17">
        <f>P17/1000</f>
        <v>1E-4</v>
      </c>
      <c r="R17" t="s">
        <v>859</v>
      </c>
    </row>
    <row r="18" spans="1:18" ht="15.75">
      <c r="A18" s="107" t="s">
        <v>5</v>
      </c>
      <c r="B18" s="148" t="s">
        <v>1840</v>
      </c>
      <c r="C18" s="39"/>
      <c r="D18" s="41"/>
      <c r="E18" s="41"/>
      <c r="F18" s="41"/>
      <c r="G18" s="41"/>
      <c r="H18" s="41"/>
      <c r="I18" s="41"/>
      <c r="J18" s="41"/>
      <c r="K18" s="41"/>
      <c r="L18" s="41"/>
      <c r="M18" s="41"/>
      <c r="N18" s="41"/>
      <c r="O18" s="41"/>
      <c r="P18" s="41"/>
      <c r="Q18" s="41"/>
      <c r="R18" s="41"/>
    </row>
    <row r="19" spans="1:18">
      <c r="A19" s="109" t="s">
        <v>7</v>
      </c>
      <c r="B19" t="s">
        <v>1807</v>
      </c>
      <c r="C19" s="102"/>
    </row>
    <row r="20" spans="1:18">
      <c r="A20" s="109" t="s">
        <v>9</v>
      </c>
      <c r="B20" t="s">
        <v>1843</v>
      </c>
      <c r="C20" s="102"/>
    </row>
    <row r="21" spans="1:18" ht="10.5" customHeight="1">
      <c r="A21" s="109" t="s">
        <v>11</v>
      </c>
      <c r="B21" s="103" t="s">
        <v>789</v>
      </c>
      <c r="P21" s="112"/>
    </row>
    <row r="22" spans="1:18">
      <c r="A22" s="109" t="s">
        <v>13</v>
      </c>
      <c r="B22" t="s">
        <v>14</v>
      </c>
      <c r="P22" s="112"/>
    </row>
    <row r="23" spans="1:18">
      <c r="A23" s="109" t="s">
        <v>15</v>
      </c>
      <c r="B23">
        <f>B28</f>
        <v>7.0000000000000001E-3</v>
      </c>
      <c r="P23" s="112"/>
    </row>
    <row r="24" spans="1:18">
      <c r="A24" s="109" t="s">
        <v>16</v>
      </c>
      <c r="B24" t="s">
        <v>17</v>
      </c>
    </row>
    <row r="25" spans="1:18">
      <c r="A25" s="109" t="s">
        <v>18</v>
      </c>
      <c r="B25" t="s">
        <v>37</v>
      </c>
    </row>
    <row r="26" spans="1:18" ht="15.75">
      <c r="A26" s="110" t="s">
        <v>19</v>
      </c>
    </row>
    <row r="27" spans="1:18" ht="15.75">
      <c r="A27" s="110"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75">
      <c r="A28" s="22" t="s">
        <v>1840</v>
      </c>
      <c r="B28">
        <v>7.0000000000000001E-3</v>
      </c>
      <c r="C28" t="s">
        <v>37</v>
      </c>
      <c r="D28" s="111" t="s">
        <v>2</v>
      </c>
      <c r="E28" t="s">
        <v>29</v>
      </c>
      <c r="F28" s="104" t="s">
        <v>14</v>
      </c>
      <c r="G28" t="s">
        <v>30</v>
      </c>
      <c r="H28">
        <v>1</v>
      </c>
      <c r="I28">
        <f>B28</f>
        <v>7.0000000000000001E-3</v>
      </c>
      <c r="J28" t="s">
        <v>31</v>
      </c>
      <c r="K28" t="s">
        <v>31</v>
      </c>
      <c r="L28" t="s">
        <v>31</v>
      </c>
      <c r="M28" t="s">
        <v>31</v>
      </c>
    </row>
    <row r="29" spans="1:18" ht="15.75">
      <c r="A29" s="61" t="s">
        <v>857</v>
      </c>
      <c r="B29" s="116">
        <f>R29</f>
        <v>7.2000000000000007E-3</v>
      </c>
      <c r="C29" t="s">
        <v>37</v>
      </c>
      <c r="D29" s="17" t="s">
        <v>40</v>
      </c>
      <c r="E29" t="s">
        <v>29</v>
      </c>
      <c r="F29" s="104" t="s">
        <v>58</v>
      </c>
      <c r="G29" t="s">
        <v>33</v>
      </c>
      <c r="H29">
        <v>2</v>
      </c>
      <c r="I29">
        <f t="shared" ref="I29:I31" si="2">LN(B29)</f>
        <v>-4.9336742529601274</v>
      </c>
      <c r="J29" s="151">
        <v>0.11236102527122109</v>
      </c>
      <c r="K29" t="s">
        <v>31</v>
      </c>
      <c r="L29" t="s">
        <v>31</v>
      </c>
      <c r="M29" t="s">
        <v>31</v>
      </c>
      <c r="O29" s="119" t="s">
        <v>575</v>
      </c>
      <c r="P29" s="120">
        <v>7.2</v>
      </c>
      <c r="Q29" t="s">
        <v>221</v>
      </c>
      <c r="R29">
        <f>P29*0.001</f>
        <v>7.2000000000000007E-3</v>
      </c>
    </row>
    <row r="30" spans="1:18" ht="15.75">
      <c r="A30" s="156" t="s">
        <v>38</v>
      </c>
      <c r="B30" s="113">
        <f>P30</f>
        <v>0.03</v>
      </c>
      <c r="C30" t="s">
        <v>39</v>
      </c>
      <c r="D30" s="17" t="s">
        <v>40</v>
      </c>
      <c r="E30" t="s">
        <v>29</v>
      </c>
      <c r="F30" s="104" t="s">
        <v>35</v>
      </c>
      <c r="G30" t="s">
        <v>33</v>
      </c>
      <c r="H30">
        <v>2</v>
      </c>
      <c r="I30">
        <f t="shared" si="2"/>
        <v>-3.5065578973199818</v>
      </c>
      <c r="J30" s="151">
        <v>0.11236102527122109</v>
      </c>
      <c r="K30" t="s">
        <v>31</v>
      </c>
      <c r="L30" t="s">
        <v>31</v>
      </c>
      <c r="M30" t="s">
        <v>31</v>
      </c>
      <c r="O30" s="119" t="s">
        <v>216</v>
      </c>
      <c r="P30" s="120">
        <v>0.03</v>
      </c>
    </row>
    <row r="31" spans="1:18" ht="15.75">
      <c r="A31" s="61" t="s">
        <v>861</v>
      </c>
      <c r="B31">
        <f>R31</f>
        <v>4.0000000000000002E-4</v>
      </c>
      <c r="C31" t="s">
        <v>37</v>
      </c>
      <c r="D31" s="17" t="s">
        <v>43</v>
      </c>
      <c r="E31" t="s">
        <v>862</v>
      </c>
      <c r="F31" s="104" t="s">
        <v>29</v>
      </c>
      <c r="G31" t="s">
        <v>45</v>
      </c>
      <c r="H31">
        <v>2</v>
      </c>
      <c r="I31">
        <f t="shared" si="2"/>
        <v>-7.8240460108562919</v>
      </c>
      <c r="J31" s="151">
        <v>0.11236102527122109</v>
      </c>
      <c r="K31" t="s">
        <v>31</v>
      </c>
      <c r="L31" t="s">
        <v>31</v>
      </c>
      <c r="M31" t="s">
        <v>31</v>
      </c>
      <c r="O31" s="154" t="s">
        <v>575</v>
      </c>
      <c r="P31" s="155">
        <v>0.4</v>
      </c>
      <c r="Q31" t="s">
        <v>221</v>
      </c>
      <c r="R31">
        <f>P31*0.001</f>
        <v>4.0000000000000002E-4</v>
      </c>
    </row>
    <row r="32" spans="1:18" ht="15.75">
      <c r="A32" s="107" t="s">
        <v>5</v>
      </c>
      <c r="B32" s="108" t="s">
        <v>1842</v>
      </c>
      <c r="C32" s="39"/>
      <c r="D32" s="41"/>
      <c r="E32" s="41"/>
      <c r="F32" s="41"/>
      <c r="G32" s="41"/>
      <c r="H32" s="41"/>
      <c r="I32" s="41"/>
      <c r="J32" s="41"/>
      <c r="K32" s="41"/>
      <c r="L32" s="41"/>
      <c r="M32" s="41"/>
      <c r="N32" s="41"/>
      <c r="O32" s="41"/>
      <c r="P32" s="41"/>
      <c r="Q32" s="41"/>
      <c r="R32" s="41"/>
    </row>
    <row r="33" spans="1:21">
      <c r="A33" s="109" t="s">
        <v>7</v>
      </c>
      <c r="B33" t="s">
        <v>1807</v>
      </c>
      <c r="C33" s="102"/>
    </row>
    <row r="34" spans="1:21">
      <c r="A34" s="109" t="s">
        <v>9</v>
      </c>
      <c r="B34" t="s">
        <v>1844</v>
      </c>
      <c r="C34" s="102"/>
    </row>
    <row r="35" spans="1:21" ht="15.75" customHeight="1">
      <c r="A35" s="109" t="s">
        <v>11</v>
      </c>
      <c r="B35" s="103" t="s">
        <v>789</v>
      </c>
      <c r="O35" t="s">
        <v>1845</v>
      </c>
      <c r="T35" s="129" t="s">
        <v>1224</v>
      </c>
    </row>
    <row r="36" spans="1:21">
      <c r="A36" s="109" t="s">
        <v>13</v>
      </c>
      <c r="B36" t="s">
        <v>14</v>
      </c>
      <c r="O36">
        <f>0.3/0.05</f>
        <v>5.9999999999999991</v>
      </c>
      <c r="P36" t="s">
        <v>886</v>
      </c>
      <c r="T36">
        <f>0.16/0.25</f>
        <v>0.64</v>
      </c>
      <c r="U36" t="s">
        <v>886</v>
      </c>
    </row>
    <row r="37" spans="1:21">
      <c r="A37" s="109" t="s">
        <v>15</v>
      </c>
      <c r="B37">
        <f>B42</f>
        <v>0.05</v>
      </c>
    </row>
    <row r="38" spans="1:21">
      <c r="A38" s="109" t="s">
        <v>16</v>
      </c>
      <c r="B38" t="s">
        <v>17</v>
      </c>
    </row>
    <row r="39" spans="1:21">
      <c r="A39" s="109" t="s">
        <v>18</v>
      </c>
      <c r="B39" t="s">
        <v>113</v>
      </c>
    </row>
    <row r="40" spans="1:21" ht="15.75">
      <c r="A40" s="110" t="s">
        <v>19</v>
      </c>
    </row>
    <row r="41" spans="1:21" ht="15.75">
      <c r="A41" s="110"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1" ht="15.75">
      <c r="A42" s="22" t="s">
        <v>1842</v>
      </c>
      <c r="B42">
        <v>0.05</v>
      </c>
      <c r="C42" t="s">
        <v>113</v>
      </c>
      <c r="D42" s="111" t="s">
        <v>2</v>
      </c>
      <c r="E42" t="s">
        <v>29</v>
      </c>
      <c r="F42" s="104" t="s">
        <v>14</v>
      </c>
      <c r="G42" t="s">
        <v>30</v>
      </c>
      <c r="H42">
        <v>1</v>
      </c>
      <c r="I42">
        <f>B42</f>
        <v>0.05</v>
      </c>
      <c r="J42" t="s">
        <v>31</v>
      </c>
      <c r="K42" t="s">
        <v>31</v>
      </c>
      <c r="L42" t="s">
        <v>31</v>
      </c>
      <c r="M42" t="s">
        <v>31</v>
      </c>
    </row>
    <row r="43" spans="1:21" ht="15.75">
      <c r="A43" s="22" t="s">
        <v>1812</v>
      </c>
      <c r="B43" s="116">
        <v>0.3</v>
      </c>
      <c r="C43" t="s">
        <v>37</v>
      </c>
      <c r="D43" s="111" t="s">
        <v>2</v>
      </c>
      <c r="E43" t="s">
        <v>29</v>
      </c>
      <c r="F43" s="104" t="s">
        <v>14</v>
      </c>
      <c r="G43" t="s">
        <v>33</v>
      </c>
      <c r="H43">
        <v>1</v>
      </c>
      <c r="I43">
        <f>B43</f>
        <v>0.3</v>
      </c>
      <c r="J43" t="s">
        <v>31</v>
      </c>
      <c r="K43" t="s">
        <v>31</v>
      </c>
      <c r="L43" t="s">
        <v>31</v>
      </c>
      <c r="M43" t="s">
        <v>31</v>
      </c>
      <c r="O43" s="119"/>
      <c r="P43" s="120"/>
    </row>
    <row r="44" spans="1:21" ht="15.75">
      <c r="A44" s="156" t="s">
        <v>38</v>
      </c>
      <c r="B44" s="113">
        <f>P44</f>
        <v>0.42</v>
      </c>
      <c r="C44" t="s">
        <v>39</v>
      </c>
      <c r="D44" s="17" t="s">
        <v>40</v>
      </c>
      <c r="E44" t="s">
        <v>29</v>
      </c>
      <c r="F44" s="104" t="s">
        <v>35</v>
      </c>
      <c r="G44" t="s">
        <v>33</v>
      </c>
      <c r="H44">
        <v>2</v>
      </c>
      <c r="I44">
        <f t="shared" ref="I44" si="3">LN(B44)</f>
        <v>-0.86750056770472306</v>
      </c>
      <c r="J44" s="151">
        <v>7.2284161474004766E-2</v>
      </c>
      <c r="K44" t="s">
        <v>31</v>
      </c>
      <c r="L44" t="s">
        <v>31</v>
      </c>
      <c r="M44" t="s">
        <v>31</v>
      </c>
      <c r="O44" s="119" t="s">
        <v>216</v>
      </c>
      <c r="P44" s="120">
        <v>0.42</v>
      </c>
    </row>
    <row r="45" spans="1:21" ht="15.75">
      <c r="A45" s="61" t="s">
        <v>547</v>
      </c>
      <c r="B45">
        <f>R45</f>
        <v>0.01</v>
      </c>
      <c r="C45" t="s">
        <v>37</v>
      </c>
      <c r="D45" s="17" t="s">
        <v>40</v>
      </c>
      <c r="E45" t="s">
        <v>29</v>
      </c>
      <c r="F45" s="104" t="s">
        <v>58</v>
      </c>
      <c r="G45" t="s">
        <v>33</v>
      </c>
      <c r="H45">
        <v>2</v>
      </c>
      <c r="I45">
        <f>LN(B45)</f>
        <v>-4.6051701859880909</v>
      </c>
      <c r="J45" s="151">
        <v>7.2284161474004766E-2</v>
      </c>
      <c r="K45" t="s">
        <v>31</v>
      </c>
      <c r="L45" t="s">
        <v>31</v>
      </c>
      <c r="M45" t="s">
        <v>31</v>
      </c>
      <c r="O45" s="119" t="s">
        <v>575</v>
      </c>
      <c r="P45" s="120">
        <v>10</v>
      </c>
      <c r="Q45" t="s">
        <v>221</v>
      </c>
      <c r="R45">
        <f>P45*0.001</f>
        <v>0.01</v>
      </c>
    </row>
    <row r="46" spans="1:21" ht="15.75">
      <c r="A46" s="61" t="s">
        <v>866</v>
      </c>
      <c r="B46">
        <f>R46</f>
        <v>1.8000000000000002E-2</v>
      </c>
      <c r="C46" t="s">
        <v>37</v>
      </c>
      <c r="D46" s="17" t="s">
        <v>40</v>
      </c>
      <c r="E46" t="s">
        <v>29</v>
      </c>
      <c r="F46" s="104" t="s">
        <v>35</v>
      </c>
      <c r="G46" t="s">
        <v>33</v>
      </c>
      <c r="H46">
        <v>2</v>
      </c>
      <c r="I46">
        <f>LN(B46)</f>
        <v>-4.0173835210859723</v>
      </c>
      <c r="J46" s="151">
        <v>7.2284161474004766E-2</v>
      </c>
      <c r="K46" t="s">
        <v>31</v>
      </c>
      <c r="L46" t="s">
        <v>31</v>
      </c>
      <c r="M46" t="s">
        <v>31</v>
      </c>
      <c r="O46" s="119" t="s">
        <v>575</v>
      </c>
      <c r="P46" s="120">
        <v>18</v>
      </c>
      <c r="Q46" t="s">
        <v>221</v>
      </c>
      <c r="R46">
        <f>P46*0.001</f>
        <v>1.8000000000000002E-2</v>
      </c>
    </row>
    <row r="47" spans="1:21" ht="15.75">
      <c r="A47" s="61" t="s">
        <v>792</v>
      </c>
      <c r="B47">
        <f>P47</f>
        <v>15.8</v>
      </c>
      <c r="C47" t="s">
        <v>37</v>
      </c>
      <c r="D47" s="17" t="s">
        <v>40</v>
      </c>
      <c r="E47" t="s">
        <v>29</v>
      </c>
      <c r="F47" s="104" t="s">
        <v>741</v>
      </c>
      <c r="G47" t="s">
        <v>33</v>
      </c>
      <c r="H47">
        <v>2</v>
      </c>
      <c r="I47">
        <f>LN(B47)</f>
        <v>2.760009940032921</v>
      </c>
      <c r="J47" s="151">
        <v>7.2284161474004766E-2</v>
      </c>
      <c r="K47" t="s">
        <v>31</v>
      </c>
      <c r="L47" t="s">
        <v>31</v>
      </c>
      <c r="M47" t="s">
        <v>31</v>
      </c>
      <c r="O47" s="119" t="s">
        <v>221</v>
      </c>
      <c r="P47" s="120">
        <v>15.8</v>
      </c>
    </row>
    <row r="48" spans="1:21" ht="15.75">
      <c r="A48" s="61" t="s">
        <v>226</v>
      </c>
      <c r="B48">
        <f>R48</f>
        <v>1.5800000000000002E-2</v>
      </c>
      <c r="C48" t="s">
        <v>42</v>
      </c>
      <c r="D48" s="17" t="s">
        <v>40</v>
      </c>
      <c r="E48" t="s">
        <v>29</v>
      </c>
      <c r="F48" s="104" t="s">
        <v>741</v>
      </c>
      <c r="G48" t="s">
        <v>33</v>
      </c>
      <c r="H48">
        <v>2</v>
      </c>
      <c r="I48">
        <f t="shared" ref="I48" si="4">LN(B48)</f>
        <v>-4.1477453389492158</v>
      </c>
      <c r="J48" s="151">
        <v>7.2284161474004766E-2</v>
      </c>
      <c r="K48" t="s">
        <v>31</v>
      </c>
      <c r="L48" t="s">
        <v>31</v>
      </c>
      <c r="M48" t="s">
        <v>31</v>
      </c>
      <c r="O48" s="154" t="s">
        <v>858</v>
      </c>
      <c r="P48" s="155">
        <v>15.8</v>
      </c>
      <c r="Q48" t="s">
        <v>219</v>
      </c>
      <c r="R48">
        <f>P48/1000</f>
        <v>1.5800000000000002E-2</v>
      </c>
    </row>
    <row r="49" spans="1:18" ht="15.75">
      <c r="A49" s="107" t="s">
        <v>5</v>
      </c>
      <c r="B49" s="108" t="s">
        <v>1846</v>
      </c>
      <c r="C49" s="39"/>
      <c r="D49" s="41"/>
      <c r="E49" s="41"/>
      <c r="F49" s="41"/>
      <c r="G49" s="41"/>
      <c r="H49" s="41"/>
      <c r="I49" s="41"/>
      <c r="J49" s="41"/>
      <c r="K49" s="41"/>
      <c r="L49" s="41"/>
      <c r="M49" s="41"/>
      <c r="N49" s="41"/>
      <c r="O49" s="41"/>
      <c r="P49" s="41"/>
      <c r="Q49" s="41"/>
      <c r="R49" s="41"/>
    </row>
    <row r="50" spans="1:18">
      <c r="A50" s="109" t="s">
        <v>7</v>
      </c>
      <c r="B50" t="s">
        <v>1807</v>
      </c>
      <c r="C50" s="102"/>
    </row>
    <row r="51" spans="1:18">
      <c r="A51" s="109" t="s">
        <v>9</v>
      </c>
      <c r="B51" t="s">
        <v>1847</v>
      </c>
      <c r="C51" s="102"/>
    </row>
    <row r="52" spans="1:18" ht="10.5" customHeight="1">
      <c r="A52" s="109" t="s">
        <v>11</v>
      </c>
      <c r="B52" s="103" t="s">
        <v>789</v>
      </c>
    </row>
    <row r="53" spans="1:18">
      <c r="A53" s="109" t="s">
        <v>13</v>
      </c>
      <c r="B53" t="s">
        <v>14</v>
      </c>
    </row>
    <row r="54" spans="1:18">
      <c r="A54" s="109" t="s">
        <v>15</v>
      </c>
      <c r="B54" s="157">
        <f>B59</f>
        <v>2.4E-2</v>
      </c>
    </row>
    <row r="55" spans="1:18">
      <c r="A55" s="109" t="s">
        <v>16</v>
      </c>
      <c r="B55" t="s">
        <v>17</v>
      </c>
    </row>
    <row r="56" spans="1:18">
      <c r="A56" s="109" t="s">
        <v>18</v>
      </c>
      <c r="B56" t="s">
        <v>37</v>
      </c>
    </row>
    <row r="57" spans="1:18" ht="15.75">
      <c r="A57" s="110" t="s">
        <v>19</v>
      </c>
    </row>
    <row r="58" spans="1:18" ht="15.75">
      <c r="A58" s="110"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75">
      <c r="A59" s="22" t="s">
        <v>1846</v>
      </c>
      <c r="B59" s="157">
        <v>2.4E-2</v>
      </c>
      <c r="C59" t="s">
        <v>37</v>
      </c>
      <c r="D59" s="111" t="s">
        <v>2</v>
      </c>
      <c r="E59" t="s">
        <v>29</v>
      </c>
      <c r="F59" s="104" t="s">
        <v>14</v>
      </c>
      <c r="G59" t="s">
        <v>30</v>
      </c>
      <c r="H59">
        <v>1</v>
      </c>
      <c r="I59" s="157">
        <f>B59</f>
        <v>2.4E-2</v>
      </c>
      <c r="J59" t="s">
        <v>31</v>
      </c>
      <c r="K59" t="s">
        <v>31</v>
      </c>
      <c r="L59" t="s">
        <v>31</v>
      </c>
      <c r="M59" t="s">
        <v>31</v>
      </c>
      <c r="O59" s="42"/>
      <c r="P59" s="112"/>
    </row>
    <row r="60" spans="1:18" ht="15.75">
      <c r="A60" s="61" t="s">
        <v>869</v>
      </c>
      <c r="B60" s="113">
        <f>R60</f>
        <v>2.5000000000000001E-2</v>
      </c>
      <c r="C60" t="s">
        <v>37</v>
      </c>
      <c r="D60" s="17" t="s">
        <v>40</v>
      </c>
      <c r="E60" t="s">
        <v>29</v>
      </c>
      <c r="F60" s="104" t="s">
        <v>58</v>
      </c>
      <c r="G60" t="s">
        <v>33</v>
      </c>
      <c r="H60">
        <v>2</v>
      </c>
      <c r="I60">
        <f>LN(B60)</f>
        <v>-3.6888794541139363</v>
      </c>
      <c r="J60">
        <v>7.2284161474004766E-2</v>
      </c>
      <c r="K60" t="s">
        <v>31</v>
      </c>
      <c r="L60" t="s">
        <v>31</v>
      </c>
      <c r="M60" t="s">
        <v>31</v>
      </c>
      <c r="O60" s="119" t="s">
        <v>575</v>
      </c>
      <c r="P60" s="120">
        <v>25</v>
      </c>
      <c r="Q60" t="s">
        <v>221</v>
      </c>
      <c r="R60">
        <f>P60*0.001</f>
        <v>2.5000000000000001E-2</v>
      </c>
    </row>
    <row r="61" spans="1:18" ht="15.75">
      <c r="A61" s="156" t="s">
        <v>38</v>
      </c>
      <c r="B61" s="113">
        <f>P61</f>
        <v>0.12</v>
      </c>
      <c r="C61" t="s">
        <v>39</v>
      </c>
      <c r="D61" s="17" t="s">
        <v>40</v>
      </c>
      <c r="E61" t="s">
        <v>29</v>
      </c>
      <c r="F61" s="104" t="s">
        <v>35</v>
      </c>
      <c r="G61" t="s">
        <v>33</v>
      </c>
      <c r="H61">
        <v>2</v>
      </c>
      <c r="I61">
        <f t="shared" ref="I61:I62" si="5">LN(B61)</f>
        <v>-2.120263536200091</v>
      </c>
      <c r="J61">
        <v>7.2284161474004766E-2</v>
      </c>
      <c r="K61" t="s">
        <v>31</v>
      </c>
      <c r="L61" t="s">
        <v>31</v>
      </c>
      <c r="M61" t="s">
        <v>31</v>
      </c>
      <c r="O61" s="119" t="s">
        <v>216</v>
      </c>
      <c r="P61" s="120">
        <v>0.12</v>
      </c>
    </row>
    <row r="62" spans="1:18" ht="15.75">
      <c r="A62" s="158" t="s">
        <v>1810</v>
      </c>
      <c r="B62">
        <v>1E-3</v>
      </c>
      <c r="C62" t="s">
        <v>37</v>
      </c>
      <c r="D62" s="111" t="s">
        <v>2</v>
      </c>
      <c r="E62" t="s">
        <v>29</v>
      </c>
      <c r="F62" s="104" t="s">
        <v>741</v>
      </c>
      <c r="G62" t="s">
        <v>33</v>
      </c>
      <c r="H62">
        <v>2</v>
      </c>
      <c r="I62">
        <f t="shared" si="5"/>
        <v>-6.9077552789821368</v>
      </c>
      <c r="J62">
        <v>7.2284161474004766E-2</v>
      </c>
      <c r="K62" t="s">
        <v>31</v>
      </c>
      <c r="L62" t="s">
        <v>31</v>
      </c>
      <c r="M62" t="s">
        <v>31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88A01-7733-4E93-B1D5-9E24878EBEF3}">
  <dimension ref="A1:X129"/>
  <sheetViews>
    <sheetView topLeftCell="A19" zoomScale="85" zoomScaleNormal="85" workbookViewId="0">
      <selection activeCell="B64" sqref="B64"/>
    </sheetView>
  </sheetViews>
  <sheetFormatPr defaultColWidth="8.7109375" defaultRowHeight="1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22" bestFit="1" customWidth="1"/>
    <col min="20" max="20" width="8.7109375" style="22"/>
    <col min="21" max="21" width="9.7109375" style="22" bestFit="1" customWidth="1"/>
    <col min="22" max="22" width="8.7109375" style="22"/>
    <col min="23" max="23" width="8.85546875" style="22" bestFit="1" customWidth="1"/>
    <col min="24" max="24" width="8.7109375" style="22"/>
  </cols>
  <sheetData>
    <row r="1" spans="1:24">
      <c r="A1" t="s">
        <v>0</v>
      </c>
      <c r="B1">
        <v>14</v>
      </c>
      <c r="D1" s="22"/>
      <c r="P1" s="22" t="s">
        <v>201</v>
      </c>
      <c r="Q1" s="59"/>
    </row>
    <row r="2" spans="1:24" s="41" customFormat="1">
      <c r="A2" s="206" t="s">
        <v>5</v>
      </c>
      <c r="B2" s="206" t="s">
        <v>52</v>
      </c>
      <c r="C2" s="206"/>
      <c r="D2" s="39"/>
      <c r="Q2" s="41" t="s">
        <v>202</v>
      </c>
      <c r="S2" s="207"/>
      <c r="T2" s="207"/>
      <c r="U2" s="207"/>
      <c r="V2" s="207"/>
      <c r="W2" s="207"/>
      <c r="X2" s="207"/>
    </row>
    <row r="3" spans="1:24">
      <c r="A3" t="s">
        <v>7</v>
      </c>
      <c r="B3" t="s">
        <v>203</v>
      </c>
      <c r="Q3" t="s">
        <v>202</v>
      </c>
    </row>
    <row r="4" spans="1:24">
      <c r="A4" t="s">
        <v>9</v>
      </c>
      <c r="B4" s="208" t="s">
        <v>204</v>
      </c>
      <c r="C4" s="22"/>
      <c r="Q4" t="s">
        <v>202</v>
      </c>
    </row>
    <row r="5" spans="1:24">
      <c r="A5" t="s">
        <v>11</v>
      </c>
      <c r="B5" t="s">
        <v>205</v>
      </c>
      <c r="Q5" t="s">
        <v>202</v>
      </c>
    </row>
    <row r="6" spans="1:24">
      <c r="A6" t="s">
        <v>13</v>
      </c>
      <c r="B6" t="s">
        <v>14</v>
      </c>
      <c r="Q6" t="s">
        <v>202</v>
      </c>
    </row>
    <row r="7" spans="1:24">
      <c r="A7" t="s">
        <v>15</v>
      </c>
      <c r="B7">
        <v>1</v>
      </c>
      <c r="Q7" t="s">
        <v>202</v>
      </c>
    </row>
    <row r="8" spans="1:24">
      <c r="A8" t="s">
        <v>16</v>
      </c>
      <c r="B8" t="s">
        <v>17</v>
      </c>
      <c r="Q8" t="s">
        <v>202</v>
      </c>
    </row>
    <row r="9" spans="1:24">
      <c r="A9" t="s">
        <v>18</v>
      </c>
      <c r="B9" t="s">
        <v>18</v>
      </c>
      <c r="E9" t="s">
        <v>197</v>
      </c>
      <c r="Q9" t="s">
        <v>202</v>
      </c>
    </row>
    <row r="10" spans="1:24">
      <c r="A10" s="159" t="s">
        <v>19</v>
      </c>
      <c r="Q10" t="s">
        <v>202</v>
      </c>
    </row>
    <row r="11" spans="1:24">
      <c r="A11" s="159" t="s">
        <v>20</v>
      </c>
      <c r="B11" s="159" t="s">
        <v>21</v>
      </c>
      <c r="C11" s="159" t="s">
        <v>198</v>
      </c>
      <c r="D11" s="159" t="s">
        <v>18</v>
      </c>
      <c r="E11" s="159" t="s">
        <v>22</v>
      </c>
      <c r="F11" s="159" t="s">
        <v>7</v>
      </c>
      <c r="G11" s="159" t="s">
        <v>13</v>
      </c>
      <c r="H11" s="159" t="s">
        <v>16</v>
      </c>
      <c r="I11" s="159" t="s">
        <v>23</v>
      </c>
      <c r="J11" s="159" t="s">
        <v>24</v>
      </c>
      <c r="K11" s="159" t="s">
        <v>25</v>
      </c>
      <c r="L11" s="159" t="s">
        <v>26</v>
      </c>
      <c r="M11" s="159" t="s">
        <v>27</v>
      </c>
      <c r="N11" s="159" t="s">
        <v>28</v>
      </c>
      <c r="O11" s="159" t="s">
        <v>11</v>
      </c>
      <c r="P11" s="197" t="s">
        <v>206</v>
      </c>
      <c r="Q11" t="s">
        <v>202</v>
      </c>
    </row>
    <row r="12" spans="1:24">
      <c r="A12" t="str">
        <f>B2</f>
        <v>Production of powerplant, PEMFC-bat, medium term</v>
      </c>
      <c r="B12">
        <v>1</v>
      </c>
      <c r="D12" t="s">
        <v>18</v>
      </c>
      <c r="E12" t="s">
        <v>2</v>
      </c>
      <c r="F12" t="s">
        <v>29</v>
      </c>
      <c r="G12" t="s">
        <v>14</v>
      </c>
      <c r="H12" t="s">
        <v>30</v>
      </c>
      <c r="I12">
        <v>1</v>
      </c>
      <c r="J12">
        <v>1</v>
      </c>
      <c r="K12" t="s">
        <v>31</v>
      </c>
      <c r="L12" t="s">
        <v>31</v>
      </c>
      <c r="M12" t="s">
        <v>31</v>
      </c>
      <c r="N12" t="s">
        <v>31</v>
      </c>
      <c r="Q12" t="s">
        <v>202</v>
      </c>
    </row>
    <row r="13" spans="1:24">
      <c r="A13" s="104" t="s">
        <v>207</v>
      </c>
      <c r="B13" s="209">
        <v>10</v>
      </c>
      <c r="C13" s="209"/>
      <c r="D13" t="s">
        <v>18</v>
      </c>
      <c r="E13" t="s">
        <v>2</v>
      </c>
      <c r="F13" t="s">
        <v>29</v>
      </c>
      <c r="G13" t="s">
        <v>14</v>
      </c>
      <c r="H13" t="s">
        <v>33</v>
      </c>
      <c r="I13">
        <v>2</v>
      </c>
      <c r="J13">
        <f t="shared" ref="J13:J35" si="0">LN(ABS(B13))</f>
        <v>2.3025850929940459</v>
      </c>
      <c r="K13" s="210">
        <v>0.4147288270665544</v>
      </c>
      <c r="L13" t="s">
        <v>31</v>
      </c>
      <c r="M13" t="s">
        <v>31</v>
      </c>
      <c r="N13" t="s">
        <v>31</v>
      </c>
      <c r="O13" t="s">
        <v>208</v>
      </c>
      <c r="Q13" t="s">
        <v>202</v>
      </c>
    </row>
    <row r="14" spans="1:24">
      <c r="A14" s="24" t="s">
        <v>209</v>
      </c>
      <c r="B14" s="209">
        <v>10</v>
      </c>
      <c r="C14" s="209"/>
      <c r="D14" t="s">
        <v>18</v>
      </c>
      <c r="E14" t="s">
        <v>2</v>
      </c>
      <c r="F14" t="s">
        <v>29</v>
      </c>
      <c r="G14" t="s">
        <v>14</v>
      </c>
      <c r="H14" t="s">
        <v>33</v>
      </c>
      <c r="I14">
        <v>2</v>
      </c>
      <c r="J14">
        <f t="shared" si="0"/>
        <v>2.3025850929940459</v>
      </c>
      <c r="K14" s="210">
        <v>0.4147288270665544</v>
      </c>
      <c r="L14" t="s">
        <v>31</v>
      </c>
      <c r="M14" t="s">
        <v>31</v>
      </c>
      <c r="N14" t="s">
        <v>31</v>
      </c>
      <c r="O14" t="s">
        <v>208</v>
      </c>
      <c r="Q14" t="s">
        <v>202</v>
      </c>
    </row>
    <row r="15" spans="1:24">
      <c r="A15" t="s">
        <v>210</v>
      </c>
      <c r="B15" s="209">
        <v>10</v>
      </c>
      <c r="C15" s="209"/>
      <c r="D15" t="s">
        <v>18</v>
      </c>
      <c r="E15" t="s">
        <v>2</v>
      </c>
      <c r="F15" t="s">
        <v>29</v>
      </c>
      <c r="G15" t="s">
        <v>14</v>
      </c>
      <c r="H15" t="s">
        <v>33</v>
      </c>
      <c r="I15">
        <v>2</v>
      </c>
      <c r="J15">
        <f t="shared" si="0"/>
        <v>2.3025850929940459</v>
      </c>
      <c r="K15" s="210">
        <v>0.4147288270665544</v>
      </c>
      <c r="L15" t="s">
        <v>31</v>
      </c>
      <c r="M15" t="s">
        <v>31</v>
      </c>
      <c r="N15" t="s">
        <v>31</v>
      </c>
      <c r="O15" t="s">
        <v>208</v>
      </c>
      <c r="Q15" t="s">
        <v>202</v>
      </c>
    </row>
    <row r="16" spans="1:24" s="129" customFormat="1">
      <c r="A16" s="211" t="str">
        <f>'1. MOTORS AND DRIVES'!A12</f>
        <v>production of motors and drives, PEMFC-bat, Medium-Term</v>
      </c>
      <c r="B16" s="209">
        <v>1</v>
      </c>
      <c r="C16" s="212"/>
      <c r="D16" t="s">
        <v>18</v>
      </c>
      <c r="E16" t="s">
        <v>2</v>
      </c>
      <c r="F16" t="s">
        <v>29</v>
      </c>
      <c r="G16" t="s">
        <v>14</v>
      </c>
      <c r="H16" t="s">
        <v>33</v>
      </c>
      <c r="I16">
        <v>2</v>
      </c>
      <c r="J16">
        <f>LN(ABS(B16))</f>
        <v>0</v>
      </c>
      <c r="K16" s="210">
        <v>0.4147288270665544</v>
      </c>
      <c r="L16" t="s">
        <v>31</v>
      </c>
      <c r="M16" t="s">
        <v>31</v>
      </c>
      <c r="N16" t="s">
        <v>31</v>
      </c>
      <c r="O16" t="s">
        <v>208</v>
      </c>
      <c r="Q16" s="212">
        <v>679.8</v>
      </c>
      <c r="R16" s="129" t="s">
        <v>211</v>
      </c>
    </row>
    <row r="17" spans="1:24" s="129" customFormat="1">
      <c r="A17" s="211" t="str">
        <f>'2.POWER ELECTRONICS'!A12</f>
        <v>production of power electronics, PEMFC-bat, Medium-Term</v>
      </c>
      <c r="B17" s="209">
        <v>1</v>
      </c>
      <c r="C17" s="212"/>
      <c r="D17" t="s">
        <v>18</v>
      </c>
      <c r="E17" t="s">
        <v>2</v>
      </c>
      <c r="F17" t="s">
        <v>29</v>
      </c>
      <c r="G17" t="s">
        <v>14</v>
      </c>
      <c r="H17" t="s">
        <v>33</v>
      </c>
      <c r="I17">
        <v>2</v>
      </c>
      <c r="J17">
        <f t="shared" si="0"/>
        <v>0</v>
      </c>
      <c r="K17" s="210">
        <v>0.4147288270665544</v>
      </c>
      <c r="L17" t="s">
        <v>31</v>
      </c>
      <c r="M17" t="s">
        <v>31</v>
      </c>
      <c r="N17" t="s">
        <v>31</v>
      </c>
      <c r="O17" t="s">
        <v>208</v>
      </c>
      <c r="Q17" s="212">
        <v>336.70369699690491</v>
      </c>
      <c r="R17" s="129" t="s">
        <v>211</v>
      </c>
      <c r="S17" s="213"/>
    </row>
    <row r="18" spans="1:24" s="129" customFormat="1" ht="15.75" thickBot="1">
      <c r="A18" s="211" t="str">
        <f>'production of battery Li-S'!A201</f>
        <v>battery pack production, Li-S, GT-bat</v>
      </c>
      <c r="B18" s="209">
        <f>1.09999991065773*(20/2.5)</f>
        <v>8.7999992852618405</v>
      </c>
      <c r="C18" s="209"/>
      <c r="D18" s="22" t="s">
        <v>18</v>
      </c>
      <c r="E18" s="22" t="s">
        <v>2</v>
      </c>
      <c r="F18" t="s">
        <v>29</v>
      </c>
      <c r="G18" s="22" t="s">
        <v>14</v>
      </c>
      <c r="H18" s="22" t="s">
        <v>33</v>
      </c>
      <c r="I18">
        <v>2</v>
      </c>
      <c r="J18">
        <f t="shared" si="0"/>
        <v>2.1747516402639122</v>
      </c>
      <c r="K18" s="210">
        <v>0.4147288270665544</v>
      </c>
      <c r="L18" t="s">
        <v>31</v>
      </c>
      <c r="M18" t="s">
        <v>31</v>
      </c>
      <c r="N18" t="s">
        <v>31</v>
      </c>
      <c r="O18" s="214" t="s">
        <v>212</v>
      </c>
      <c r="Q18" s="212">
        <v>3611.4198053138543</v>
      </c>
      <c r="R18" s="129" t="s">
        <v>211</v>
      </c>
      <c r="S18" s="215">
        <v>3693.66</v>
      </c>
    </row>
    <row r="19" spans="1:24" s="129" customFormat="1" ht="15.75" thickTop="1">
      <c r="A19" s="211" t="str">
        <f>'battery EoL Li-ion'!A137</f>
        <v>treatment of battery LiS, GT-bat</v>
      </c>
      <c r="B19" s="209">
        <f>1.09999991065773*(20/2.5)</f>
        <v>8.7999992852618405</v>
      </c>
      <c r="C19" s="212"/>
      <c r="D19" t="s">
        <v>18</v>
      </c>
      <c r="E19" t="s">
        <v>2</v>
      </c>
      <c r="F19" t="s">
        <v>29</v>
      </c>
      <c r="G19" t="s">
        <v>58</v>
      </c>
      <c r="H19" t="s">
        <v>33</v>
      </c>
      <c r="I19">
        <v>2</v>
      </c>
      <c r="J19">
        <f t="shared" si="0"/>
        <v>2.1747516402639122</v>
      </c>
      <c r="K19" s="210">
        <v>0.4147288270665544</v>
      </c>
      <c r="L19" t="s">
        <v>31</v>
      </c>
      <c r="M19" t="s">
        <v>31</v>
      </c>
      <c r="N19" t="s">
        <v>31</v>
      </c>
      <c r="O19" t="s">
        <v>208</v>
      </c>
      <c r="Q19" s="212">
        <v>3611.4198053138543</v>
      </c>
      <c r="R19" s="129" t="s">
        <v>211</v>
      </c>
      <c r="S19" s="213"/>
    </row>
    <row r="20" spans="1:24" s="129" customFormat="1">
      <c r="A20" s="216" t="s">
        <v>213</v>
      </c>
      <c r="B20" s="217">
        <v>83.216742085209717</v>
      </c>
      <c r="C20" s="212"/>
      <c r="D20" t="s">
        <v>37</v>
      </c>
      <c r="E20" t="s">
        <v>40</v>
      </c>
      <c r="F20" t="s">
        <v>29</v>
      </c>
      <c r="G20" t="s">
        <v>58</v>
      </c>
      <c r="H20" t="s">
        <v>33</v>
      </c>
      <c r="I20">
        <v>2</v>
      </c>
      <c r="J20">
        <f t="shared" si="0"/>
        <v>4.4214485545694222</v>
      </c>
      <c r="K20" s="210">
        <v>0.4147288270665544</v>
      </c>
      <c r="L20" t="s">
        <v>31</v>
      </c>
      <c r="M20" t="s">
        <v>31</v>
      </c>
      <c r="N20" t="s">
        <v>31</v>
      </c>
      <c r="O20" t="s">
        <v>208</v>
      </c>
      <c r="Q20" s="212">
        <v>83.216742085209717</v>
      </c>
      <c r="R20" s="129" t="s">
        <v>211</v>
      </c>
      <c r="S20" s="213"/>
    </row>
    <row r="21" spans="1:24" s="129" customFormat="1">
      <c r="A21" s="211" t="str">
        <f>H2_storage!A12</f>
        <v>production of compressed H2 insulated storage system</v>
      </c>
      <c r="B21" s="209">
        <v>4</v>
      </c>
      <c r="C21" s="212"/>
      <c r="D21" t="s">
        <v>18</v>
      </c>
      <c r="E21" t="s">
        <v>2</v>
      </c>
      <c r="F21" t="s">
        <v>29</v>
      </c>
      <c r="G21" t="s">
        <v>14</v>
      </c>
      <c r="H21" t="s">
        <v>33</v>
      </c>
      <c r="I21">
        <v>2</v>
      </c>
      <c r="J21">
        <f t="shared" si="0"/>
        <v>1.3862943611198906</v>
      </c>
      <c r="K21" s="210">
        <v>0.4147288270665544</v>
      </c>
      <c r="L21" t="s">
        <v>31</v>
      </c>
      <c r="M21" t="s">
        <v>31</v>
      </c>
      <c r="N21" t="s">
        <v>31</v>
      </c>
      <c r="O21" t="s">
        <v>208</v>
      </c>
      <c r="Q21" s="212">
        <v>2685.6115783705645</v>
      </c>
      <c r="R21" s="129" t="s">
        <v>211</v>
      </c>
      <c r="S21" s="213"/>
      <c r="T21" s="22">
        <f>Q21/694</f>
        <v>3.8697573175368367</v>
      </c>
    </row>
    <row r="22" spans="1:24" s="129" customFormat="1">
      <c r="A22" s="211" t="str">
        <f>PEMFC!A12</f>
        <v>production of PEMFC fuel cell plant unit, Medium-Term, PEMFC-bat</v>
      </c>
      <c r="B22" s="209">
        <f>2*2</f>
        <v>4</v>
      </c>
      <c r="C22" s="212"/>
      <c r="D22" t="s">
        <v>18</v>
      </c>
      <c r="E22" t="s">
        <v>2</v>
      </c>
      <c r="F22" t="s">
        <v>29</v>
      </c>
      <c r="G22" t="s">
        <v>14</v>
      </c>
      <c r="H22" t="s">
        <v>33</v>
      </c>
      <c r="I22">
        <v>2</v>
      </c>
      <c r="J22">
        <f t="shared" si="0"/>
        <v>1.3862943611198906</v>
      </c>
      <c r="K22" s="210">
        <v>0.4147288270665544</v>
      </c>
      <c r="L22" t="s">
        <v>31</v>
      </c>
      <c r="M22" t="s">
        <v>31</v>
      </c>
      <c r="N22" t="s">
        <v>31</v>
      </c>
      <c r="O22" t="s">
        <v>214</v>
      </c>
      <c r="Q22" s="212">
        <v>1963.1018360329915</v>
      </c>
      <c r="R22" s="129" t="s">
        <v>211</v>
      </c>
      <c r="S22" s="213"/>
      <c r="T22" s="22">
        <f>Q22/835</f>
        <v>2.3510201629137621</v>
      </c>
    </row>
    <row r="23" spans="1:24">
      <c r="A23" s="42" t="s">
        <v>215</v>
      </c>
      <c r="B23" s="218">
        <f>S23</f>
        <v>451449.13137549773</v>
      </c>
      <c r="C23" s="219"/>
      <c r="D23" t="s">
        <v>39</v>
      </c>
      <c r="E23" t="s">
        <v>40</v>
      </c>
      <c r="F23" t="s">
        <v>29</v>
      </c>
      <c r="G23" t="s">
        <v>58</v>
      </c>
      <c r="H23" t="s">
        <v>33</v>
      </c>
      <c r="I23">
        <v>2</v>
      </c>
      <c r="J23">
        <f t="shared" si="0"/>
        <v>13.020217979656906</v>
      </c>
      <c r="K23">
        <v>0.28635642126552707</v>
      </c>
      <c r="L23" t="s">
        <v>31</v>
      </c>
      <c r="M23" t="s">
        <v>31</v>
      </c>
      <c r="N23" t="s">
        <v>31</v>
      </c>
      <c r="Q23" t="s">
        <v>202</v>
      </c>
      <c r="S23" s="22">
        <v>451449.13137549773</v>
      </c>
      <c r="T23" s="22" t="s">
        <v>216</v>
      </c>
    </row>
    <row r="24" spans="1:24">
      <c r="A24" s="22" t="s">
        <v>77</v>
      </c>
      <c r="B24" s="220">
        <f>W24</f>
        <v>42669.757695270528</v>
      </c>
      <c r="C24" s="209"/>
      <c r="D24" s="22" t="s">
        <v>42</v>
      </c>
      <c r="E24" s="22" t="s">
        <v>40</v>
      </c>
      <c r="F24" s="22" t="s">
        <v>29</v>
      </c>
      <c r="G24" s="22" t="s">
        <v>217</v>
      </c>
      <c r="H24" s="22" t="s">
        <v>33</v>
      </c>
      <c r="I24">
        <v>2</v>
      </c>
      <c r="J24">
        <f t="shared" si="0"/>
        <v>10.661245697592465</v>
      </c>
      <c r="K24">
        <v>0.28635642126552707</v>
      </c>
      <c r="L24" t="s">
        <v>31</v>
      </c>
      <c r="M24" t="s">
        <v>31</v>
      </c>
      <c r="N24" t="s">
        <v>31</v>
      </c>
      <c r="Q24" t="s">
        <v>202</v>
      </c>
      <c r="R24" s="22"/>
      <c r="S24" s="209">
        <v>453959.17420284357</v>
      </c>
      <c r="T24" s="22" t="s">
        <v>216</v>
      </c>
      <c r="U24" s="22">
        <f>S24/0.277778</f>
        <v>1634251.719728861</v>
      </c>
      <c r="V24" s="22" t="s">
        <v>218</v>
      </c>
      <c r="W24" s="22">
        <f>U24/38.3</f>
        <v>42669.757695270528</v>
      </c>
      <c r="X24" s="22" t="s">
        <v>219</v>
      </c>
    </row>
    <row r="25" spans="1:24">
      <c r="A25" s="42" t="s">
        <v>220</v>
      </c>
      <c r="B25" s="221">
        <f>U25</f>
        <v>203958.74543219592</v>
      </c>
      <c r="C25" s="209"/>
      <c r="D25" s="22" t="s">
        <v>170</v>
      </c>
      <c r="E25" s="22" t="s">
        <v>40</v>
      </c>
      <c r="F25" s="22" t="s">
        <v>29</v>
      </c>
      <c r="G25" s="22" t="s">
        <v>58</v>
      </c>
      <c r="H25" s="22" t="s">
        <v>33</v>
      </c>
      <c r="I25">
        <v>2</v>
      </c>
      <c r="J25">
        <f t="shared" si="0"/>
        <v>12.22567302410191</v>
      </c>
      <c r="K25">
        <v>0.28635642126552707</v>
      </c>
      <c r="L25" t="s">
        <v>31</v>
      </c>
      <c r="M25" t="s">
        <v>31</v>
      </c>
      <c r="N25" t="s">
        <v>31</v>
      </c>
      <c r="Q25" t="s">
        <v>202</v>
      </c>
      <c r="R25" s="42"/>
      <c r="S25" s="209">
        <v>56655.252388664521</v>
      </c>
      <c r="T25" s="22" t="s">
        <v>216</v>
      </c>
      <c r="U25" s="22">
        <f>S25/0.277778</f>
        <v>203958.74543219592</v>
      </c>
      <c r="V25" s="22" t="s">
        <v>218</v>
      </c>
    </row>
    <row r="26" spans="1:24">
      <c r="A26" s="42" t="s">
        <v>71</v>
      </c>
      <c r="B26" s="220">
        <f>W26</f>
        <v>9652.771773251814</v>
      </c>
      <c r="C26" s="209"/>
      <c r="D26" s="22" t="s">
        <v>37</v>
      </c>
      <c r="E26" s="22" t="s">
        <v>40</v>
      </c>
      <c r="F26" s="22" t="s">
        <v>29</v>
      </c>
      <c r="G26" s="22" t="s">
        <v>58</v>
      </c>
      <c r="H26" s="22" t="s">
        <v>33</v>
      </c>
      <c r="I26">
        <v>2</v>
      </c>
      <c r="J26">
        <f t="shared" si="0"/>
        <v>9.1750003834790697</v>
      </c>
      <c r="K26">
        <v>0.28635642126552707</v>
      </c>
      <c r="L26" t="s">
        <v>31</v>
      </c>
      <c r="M26" t="s">
        <v>31</v>
      </c>
      <c r="N26" t="s">
        <v>31</v>
      </c>
      <c r="Q26" t="s">
        <v>202</v>
      </c>
      <c r="R26" s="42"/>
      <c r="S26" s="209">
        <v>120123.47816583933</v>
      </c>
      <c r="T26" s="22" t="s">
        <v>216</v>
      </c>
      <c r="U26" s="22">
        <f>S26/0.277778</f>
        <v>432444.17544168123</v>
      </c>
      <c r="V26" s="22" t="s">
        <v>218</v>
      </c>
      <c r="W26" s="22">
        <f>U26/44.8</f>
        <v>9652.771773251814</v>
      </c>
      <c r="X26" s="22" t="s">
        <v>221</v>
      </c>
    </row>
    <row r="27" spans="1:24">
      <c r="A27" s="42" t="s">
        <v>222</v>
      </c>
      <c r="B27" s="220">
        <f t="shared" ref="B27" si="1">W27</f>
        <v>19055.82009764338</v>
      </c>
      <c r="C27" s="209"/>
      <c r="D27" s="22" t="s">
        <v>37</v>
      </c>
      <c r="E27" s="22" t="s">
        <v>40</v>
      </c>
      <c r="F27" s="22" t="s">
        <v>29</v>
      </c>
      <c r="G27" s="22" t="s">
        <v>128</v>
      </c>
      <c r="H27" s="22" t="s">
        <v>33</v>
      </c>
      <c r="I27">
        <v>2</v>
      </c>
      <c r="J27">
        <f t="shared" si="0"/>
        <v>9.8551278508307121</v>
      </c>
      <c r="K27">
        <v>0.28635642126552707</v>
      </c>
      <c r="L27" t="s">
        <v>31</v>
      </c>
      <c r="M27" t="s">
        <v>31</v>
      </c>
      <c r="N27" t="s">
        <v>31</v>
      </c>
      <c r="Q27" t="s">
        <v>202</v>
      </c>
      <c r="R27" s="42"/>
      <c r="S27" s="209">
        <v>244549.88689284306</v>
      </c>
      <c r="T27" s="22" t="s">
        <v>216</v>
      </c>
      <c r="U27" s="22">
        <f>S27/0.277778</f>
        <v>880378.88851112418</v>
      </c>
      <c r="V27" s="22" t="s">
        <v>218</v>
      </c>
      <c r="W27" s="22">
        <f>U27/46.2</f>
        <v>19055.82009764338</v>
      </c>
      <c r="X27" s="22" t="s">
        <v>221</v>
      </c>
    </row>
    <row r="28" spans="1:24" s="129" customFormat="1">
      <c r="A28" s="22" t="s">
        <v>223</v>
      </c>
      <c r="B28" s="220">
        <f>W28</f>
        <v>117.35255778607362</v>
      </c>
      <c r="C28" s="209"/>
      <c r="D28" s="22" t="s">
        <v>37</v>
      </c>
      <c r="E28" t="s">
        <v>2</v>
      </c>
      <c r="F28" s="22" t="s">
        <v>224</v>
      </c>
      <c r="G28" s="22" t="s">
        <v>58</v>
      </c>
      <c r="H28" s="22" t="s">
        <v>33</v>
      </c>
      <c r="I28" s="22">
        <v>2</v>
      </c>
      <c r="J28" s="22">
        <f t="shared" si="0"/>
        <v>4.7651827182765727</v>
      </c>
      <c r="K28">
        <v>0.28635642126552707</v>
      </c>
      <c r="L28" s="22" t="s">
        <v>31</v>
      </c>
      <c r="M28" s="22" t="s">
        <v>31</v>
      </c>
      <c r="N28" s="22" t="s">
        <v>31</v>
      </c>
      <c r="O28" s="63"/>
      <c r="P28" s="22"/>
      <c r="Q28" t="s">
        <v>202</v>
      </c>
      <c r="R28" s="222"/>
      <c r="S28" s="209">
        <v>1434.3101870547982</v>
      </c>
      <c r="T28" s="22" t="s">
        <v>216</v>
      </c>
      <c r="U28" s="22">
        <f>S28/0.277778</f>
        <v>5163.5125425872393</v>
      </c>
      <c r="V28" s="22" t="s">
        <v>218</v>
      </c>
      <c r="W28" s="22">
        <f>U28/44</f>
        <v>117.35255778607362</v>
      </c>
      <c r="X28" s="22" t="s">
        <v>221</v>
      </c>
    </row>
    <row r="29" spans="1:24">
      <c r="A29" t="s">
        <v>79</v>
      </c>
      <c r="B29" s="223">
        <f>1103.91324969126*997.42788</f>
        <v>1101073.852343464</v>
      </c>
      <c r="C29" s="63"/>
      <c r="D29" t="s">
        <v>37</v>
      </c>
      <c r="E29" t="s">
        <v>40</v>
      </c>
      <c r="F29" t="s">
        <v>29</v>
      </c>
      <c r="G29" t="s">
        <v>58</v>
      </c>
      <c r="H29" t="s">
        <v>33</v>
      </c>
      <c r="I29">
        <v>2</v>
      </c>
      <c r="J29">
        <f t="shared" si="0"/>
        <v>13.911796490969721</v>
      </c>
      <c r="K29">
        <v>0.28635642126552707</v>
      </c>
      <c r="L29" t="s">
        <v>31</v>
      </c>
      <c r="M29" t="s">
        <v>31</v>
      </c>
      <c r="N29" t="s">
        <v>31</v>
      </c>
      <c r="O29" t="s">
        <v>225</v>
      </c>
      <c r="Q29" t="s">
        <v>202</v>
      </c>
    </row>
    <row r="30" spans="1:24">
      <c r="A30" s="60" t="s">
        <v>226</v>
      </c>
      <c r="B30" s="220">
        <v>1029.3857752167969</v>
      </c>
      <c r="C30" s="209"/>
      <c r="D30" s="22" t="s">
        <v>42</v>
      </c>
      <c r="E30" s="22" t="s">
        <v>40</v>
      </c>
      <c r="F30" s="22" t="s">
        <v>29</v>
      </c>
      <c r="G30" s="60" t="s">
        <v>128</v>
      </c>
      <c r="H30" s="22" t="s">
        <v>33</v>
      </c>
      <c r="I30">
        <v>2</v>
      </c>
      <c r="J30">
        <f t="shared" si="0"/>
        <v>6.9367175686044256</v>
      </c>
      <c r="K30">
        <v>0.28635642126552707</v>
      </c>
      <c r="L30" t="s">
        <v>31</v>
      </c>
      <c r="M30" t="s">
        <v>31</v>
      </c>
      <c r="N30" t="s">
        <v>31</v>
      </c>
      <c r="Q30" t="s">
        <v>202</v>
      </c>
    </row>
    <row r="31" spans="1:24">
      <c r="A31" s="22" t="s">
        <v>227</v>
      </c>
      <c r="B31" s="220">
        <v>24978.51190755931</v>
      </c>
      <c r="C31" s="209"/>
      <c r="D31" s="22" t="s">
        <v>37</v>
      </c>
      <c r="E31" s="22" t="s">
        <v>40</v>
      </c>
      <c r="F31" s="22" t="s">
        <v>29</v>
      </c>
      <c r="G31" s="22" t="s">
        <v>128</v>
      </c>
      <c r="H31" s="22" t="s">
        <v>33</v>
      </c>
      <c r="I31">
        <v>2</v>
      </c>
      <c r="J31">
        <f t="shared" si="0"/>
        <v>10.125771210550413</v>
      </c>
      <c r="K31">
        <v>0.28635642126552707</v>
      </c>
      <c r="L31" t="s">
        <v>31</v>
      </c>
      <c r="M31" t="s">
        <v>31</v>
      </c>
      <c r="N31" t="s">
        <v>31</v>
      </c>
      <c r="O31" s="224" t="s">
        <v>228</v>
      </c>
      <c r="Q31" t="s">
        <v>202</v>
      </c>
    </row>
    <row r="32" spans="1:24" ht="15.75" customHeight="1">
      <c r="A32" t="s">
        <v>229</v>
      </c>
      <c r="B32" s="218">
        <v>469280.83419850969</v>
      </c>
      <c r="C32" s="219"/>
      <c r="D32" t="s">
        <v>37</v>
      </c>
      <c r="E32" t="s">
        <v>43</v>
      </c>
      <c r="F32" t="s">
        <v>44</v>
      </c>
      <c r="G32" t="s">
        <v>29</v>
      </c>
      <c r="H32" t="s">
        <v>45</v>
      </c>
      <c r="I32">
        <v>2</v>
      </c>
      <c r="J32">
        <f t="shared" si="0"/>
        <v>13.058956661823297</v>
      </c>
      <c r="K32">
        <v>0.28635642126552707</v>
      </c>
      <c r="L32" t="s">
        <v>31</v>
      </c>
      <c r="M32" t="s">
        <v>31</v>
      </c>
      <c r="N32" t="s">
        <v>31</v>
      </c>
      <c r="Q32" t="s">
        <v>202</v>
      </c>
    </row>
    <row r="33" spans="1:24">
      <c r="A33" t="s">
        <v>230</v>
      </c>
      <c r="B33" s="218">
        <v>5.020085654691794</v>
      </c>
      <c r="C33" s="219"/>
      <c r="D33" t="s">
        <v>37</v>
      </c>
      <c r="E33" t="s">
        <v>43</v>
      </c>
      <c r="F33" t="s">
        <v>44</v>
      </c>
      <c r="G33" t="s">
        <v>29</v>
      </c>
      <c r="H33" t="s">
        <v>45</v>
      </c>
      <c r="I33">
        <v>2</v>
      </c>
      <c r="J33">
        <f t="shared" si="0"/>
        <v>1.6134469962456801</v>
      </c>
      <c r="K33">
        <v>0.28635642126552707</v>
      </c>
      <c r="L33" t="s">
        <v>31</v>
      </c>
      <c r="M33" t="s">
        <v>31</v>
      </c>
      <c r="N33" t="s">
        <v>31</v>
      </c>
      <c r="Q33" t="s">
        <v>202</v>
      </c>
    </row>
    <row r="34" spans="1:24">
      <c r="A34" t="s">
        <v>231</v>
      </c>
      <c r="B34" s="225">
        <v>79.604215381541295</v>
      </c>
      <c r="D34" t="s">
        <v>37</v>
      </c>
      <c r="E34" t="s">
        <v>43</v>
      </c>
      <c r="F34" t="s">
        <v>44</v>
      </c>
      <c r="G34" t="s">
        <v>29</v>
      </c>
      <c r="H34" t="s">
        <v>45</v>
      </c>
      <c r="I34">
        <v>2</v>
      </c>
      <c r="J34">
        <f t="shared" si="0"/>
        <v>4.3770670485027008</v>
      </c>
      <c r="K34">
        <v>0.28635642126552707</v>
      </c>
      <c r="L34" t="s">
        <v>31</v>
      </c>
      <c r="M34" t="s">
        <v>31</v>
      </c>
      <c r="N34" t="s">
        <v>31</v>
      </c>
      <c r="Q34" t="s">
        <v>202</v>
      </c>
    </row>
    <row r="35" spans="1:24">
      <c r="A35" t="s">
        <v>232</v>
      </c>
      <c r="B35" s="225">
        <v>376.86500164864816</v>
      </c>
      <c r="D35" t="s">
        <v>37</v>
      </c>
      <c r="E35" t="s">
        <v>43</v>
      </c>
      <c r="F35" t="s">
        <v>44</v>
      </c>
      <c r="G35" t="s">
        <v>29</v>
      </c>
      <c r="H35" t="s">
        <v>45</v>
      </c>
      <c r="I35">
        <v>2</v>
      </c>
      <c r="J35">
        <f t="shared" si="0"/>
        <v>5.9318870375073729</v>
      </c>
      <c r="K35">
        <v>0.28635642126552707</v>
      </c>
      <c r="L35" t="s">
        <v>31</v>
      </c>
      <c r="M35" t="s">
        <v>31</v>
      </c>
      <c r="N35" t="s">
        <v>31</v>
      </c>
      <c r="Q35" t="s">
        <v>202</v>
      </c>
    </row>
    <row r="36" spans="1:24" s="41" customFormat="1">
      <c r="A36" s="206" t="s">
        <v>5</v>
      </c>
      <c r="B36" s="206" t="s">
        <v>207</v>
      </c>
      <c r="C36" s="206"/>
      <c r="D36" s="39"/>
      <c r="Q36" s="41" t="s">
        <v>202</v>
      </c>
      <c r="S36" s="207"/>
      <c r="T36" s="207"/>
      <c r="U36" s="207"/>
      <c r="V36" s="207"/>
      <c r="W36" s="207"/>
      <c r="X36" s="207"/>
    </row>
    <row r="37" spans="1:24">
      <c r="A37" t="s">
        <v>7</v>
      </c>
      <c r="B37" t="s">
        <v>203</v>
      </c>
      <c r="Q37" t="s">
        <v>202</v>
      </c>
    </row>
    <row r="38" spans="1:24">
      <c r="A38" t="s">
        <v>9</v>
      </c>
      <c r="B38" s="208" t="s">
        <v>233</v>
      </c>
      <c r="C38" s="22"/>
      <c r="Q38" t="s">
        <v>202</v>
      </c>
    </row>
    <row r="39" spans="1:24">
      <c r="A39" t="s">
        <v>11</v>
      </c>
      <c r="B39" t="s">
        <v>234</v>
      </c>
      <c r="Q39" t="s">
        <v>202</v>
      </c>
    </row>
    <row r="40" spans="1:24">
      <c r="A40" t="s">
        <v>13</v>
      </c>
      <c r="B40" t="s">
        <v>14</v>
      </c>
      <c r="Q40" t="s">
        <v>202</v>
      </c>
    </row>
    <row r="41" spans="1:24">
      <c r="A41" t="s">
        <v>15</v>
      </c>
      <c r="B41">
        <v>1</v>
      </c>
      <c r="Q41" t="s">
        <v>202</v>
      </c>
    </row>
    <row r="42" spans="1:24">
      <c r="A42" t="s">
        <v>16</v>
      </c>
      <c r="B42" t="s">
        <v>17</v>
      </c>
      <c r="Q42" t="s">
        <v>202</v>
      </c>
    </row>
    <row r="43" spans="1:24">
      <c r="A43" t="s">
        <v>18</v>
      </c>
      <c r="B43" t="s">
        <v>18</v>
      </c>
      <c r="E43" t="s">
        <v>197</v>
      </c>
      <c r="Q43" t="s">
        <v>202</v>
      </c>
    </row>
    <row r="44" spans="1:24">
      <c r="A44" s="159" t="s">
        <v>19</v>
      </c>
      <c r="Q44" t="s">
        <v>202</v>
      </c>
    </row>
    <row r="45" spans="1:24">
      <c r="A45" s="159" t="s">
        <v>20</v>
      </c>
      <c r="B45" s="159" t="s">
        <v>21</v>
      </c>
      <c r="C45" s="159" t="s">
        <v>198</v>
      </c>
      <c r="D45" s="159" t="s">
        <v>18</v>
      </c>
      <c r="E45" s="159" t="s">
        <v>22</v>
      </c>
      <c r="F45" s="159" t="s">
        <v>7</v>
      </c>
      <c r="G45" s="159" t="s">
        <v>13</v>
      </c>
      <c r="H45" s="159" t="s">
        <v>16</v>
      </c>
      <c r="I45" s="159" t="s">
        <v>23</v>
      </c>
      <c r="J45" s="159" t="s">
        <v>24</v>
      </c>
      <c r="K45" s="159" t="s">
        <v>25</v>
      </c>
      <c r="L45" s="159" t="s">
        <v>26</v>
      </c>
      <c r="M45" s="159" t="s">
        <v>27</v>
      </c>
      <c r="N45" s="159" t="s">
        <v>28</v>
      </c>
      <c r="O45" s="159" t="s">
        <v>11</v>
      </c>
      <c r="P45" s="197" t="s">
        <v>206</v>
      </c>
      <c r="Q45" t="s">
        <v>202</v>
      </c>
    </row>
    <row r="46" spans="1:24">
      <c r="A46" t="str">
        <f>B36</f>
        <v>Production of Gearbox, EM</v>
      </c>
      <c r="B46">
        <v>1</v>
      </c>
      <c r="D46" t="s">
        <v>18</v>
      </c>
      <c r="E46" t="s">
        <v>2</v>
      </c>
      <c r="F46" t="s">
        <v>29</v>
      </c>
      <c r="G46" t="s">
        <v>14</v>
      </c>
      <c r="H46" t="s">
        <v>30</v>
      </c>
      <c r="I46">
        <v>1</v>
      </c>
      <c r="J46">
        <v>1</v>
      </c>
      <c r="K46" t="s">
        <v>31</v>
      </c>
      <c r="L46" t="s">
        <v>31</v>
      </c>
      <c r="M46" t="s">
        <v>31</v>
      </c>
      <c r="N46" t="s">
        <v>31</v>
      </c>
      <c r="P46" s="22"/>
      <c r="Q46" t="s">
        <v>202</v>
      </c>
    </row>
    <row r="47" spans="1:24">
      <c r="A47" s="226" t="s">
        <v>235</v>
      </c>
      <c r="B47" s="205">
        <f>26.212575*8</f>
        <v>209.70060000000001</v>
      </c>
      <c r="C47" s="205"/>
      <c r="D47" s="205" t="s">
        <v>37</v>
      </c>
      <c r="E47" s="205" t="s">
        <v>40</v>
      </c>
      <c r="F47" s="205" t="s">
        <v>29</v>
      </c>
      <c r="G47" s="205" t="s">
        <v>58</v>
      </c>
      <c r="H47" s="205" t="s">
        <v>33</v>
      </c>
      <c r="I47" s="205">
        <v>2</v>
      </c>
      <c r="J47" s="205">
        <f t="shared" ref="J47:J66" si="2">LN(B47)</f>
        <v>5.3456807991341098</v>
      </c>
      <c r="K47" s="205">
        <v>0.30331501776206199</v>
      </c>
      <c r="L47" s="205" t="s">
        <v>31</v>
      </c>
      <c r="M47" s="205" t="s">
        <v>31</v>
      </c>
      <c r="N47" s="205" t="s">
        <v>31</v>
      </c>
      <c r="O47" s="205" t="s">
        <v>236</v>
      </c>
      <c r="P47" s="22" t="s">
        <v>237</v>
      </c>
      <c r="Q47" t="s">
        <v>202</v>
      </c>
    </row>
    <row r="48" spans="1:24">
      <c r="A48" s="226" t="s">
        <v>238</v>
      </c>
      <c r="B48" s="205">
        <f>8.737525*1.2</f>
        <v>10.48503</v>
      </c>
      <c r="C48" s="205"/>
      <c r="D48" s="205" t="s">
        <v>37</v>
      </c>
      <c r="E48" s="205" t="s">
        <v>40</v>
      </c>
      <c r="F48" s="205" t="s">
        <v>29</v>
      </c>
      <c r="G48" s="205" t="s">
        <v>58</v>
      </c>
      <c r="H48" s="205" t="s">
        <v>33</v>
      </c>
      <c r="I48" s="205">
        <v>2</v>
      </c>
      <c r="J48" s="205">
        <f t="shared" si="2"/>
        <v>2.3499485255801189</v>
      </c>
      <c r="K48" s="205">
        <v>0.30331501776206199</v>
      </c>
      <c r="L48" s="205" t="s">
        <v>31</v>
      </c>
      <c r="M48" s="205" t="s">
        <v>31</v>
      </c>
      <c r="N48" s="205" t="s">
        <v>31</v>
      </c>
      <c r="O48" s="205" t="s">
        <v>236</v>
      </c>
      <c r="P48" s="22" t="s">
        <v>239</v>
      </c>
      <c r="Q48" t="s">
        <v>202</v>
      </c>
    </row>
    <row r="49" spans="1:24">
      <c r="A49" s="227" t="s">
        <v>240</v>
      </c>
      <c r="B49" s="228">
        <f>B47*(1-1/8)</f>
        <v>183.48802499999999</v>
      </c>
      <c r="C49" s="228"/>
      <c r="D49" s="228" t="s">
        <v>37</v>
      </c>
      <c r="E49" s="228" t="s">
        <v>40</v>
      </c>
      <c r="F49" s="228" t="s">
        <v>29</v>
      </c>
      <c r="G49" s="228" t="s">
        <v>128</v>
      </c>
      <c r="H49" s="228" t="s">
        <v>33</v>
      </c>
      <c r="I49" s="228">
        <v>2</v>
      </c>
      <c r="J49" s="228">
        <f t="shared" si="2"/>
        <v>5.212149406509587</v>
      </c>
      <c r="K49" s="228">
        <v>0.30331501776206199</v>
      </c>
      <c r="L49" s="228" t="s">
        <v>31</v>
      </c>
      <c r="M49" s="228" t="s">
        <v>31</v>
      </c>
      <c r="N49" s="228" t="s">
        <v>31</v>
      </c>
      <c r="O49" s="228" t="s">
        <v>241</v>
      </c>
      <c r="P49" s="229" t="s">
        <v>242</v>
      </c>
      <c r="Q49" t="s">
        <v>202</v>
      </c>
    </row>
    <row r="50" spans="1:24">
      <c r="A50" s="230" t="s">
        <v>235</v>
      </c>
      <c r="B50" s="231">
        <f>B47*(1-1/8)</f>
        <v>183.48802499999999</v>
      </c>
      <c r="C50" s="231"/>
      <c r="D50" s="231" t="s">
        <v>37</v>
      </c>
      <c r="E50" s="231" t="s">
        <v>40</v>
      </c>
      <c r="F50" s="231" t="s">
        <v>29</v>
      </c>
      <c r="G50" s="231" t="s">
        <v>58</v>
      </c>
      <c r="H50" s="231" t="s">
        <v>243</v>
      </c>
      <c r="I50" s="231">
        <v>2</v>
      </c>
      <c r="J50" s="231">
        <f t="shared" si="2"/>
        <v>5.212149406509587</v>
      </c>
      <c r="K50" s="231">
        <v>0.30331501776206199</v>
      </c>
      <c r="L50" s="231" t="s">
        <v>31</v>
      </c>
      <c r="M50" s="231" t="s">
        <v>31</v>
      </c>
      <c r="N50" s="231" t="s">
        <v>31</v>
      </c>
      <c r="O50" s="231" t="s">
        <v>241</v>
      </c>
      <c r="P50" s="232" t="s">
        <v>244</v>
      </c>
      <c r="Q50" t="s">
        <v>202</v>
      </c>
    </row>
    <row r="51" spans="1:24">
      <c r="A51" s="227" t="s">
        <v>245</v>
      </c>
      <c r="B51" s="228">
        <f>B48*(1-1/1.2)</f>
        <v>1.7475049999999996</v>
      </c>
      <c r="C51" s="228"/>
      <c r="D51" s="228" t="s">
        <v>37</v>
      </c>
      <c r="E51" s="228" t="s">
        <v>40</v>
      </c>
      <c r="F51" s="228" t="s">
        <v>29</v>
      </c>
      <c r="G51" s="228" t="s">
        <v>128</v>
      </c>
      <c r="H51" s="228" t="s">
        <v>33</v>
      </c>
      <c r="I51" s="228">
        <v>2</v>
      </c>
      <c r="J51" s="228">
        <f t="shared" si="2"/>
        <v>0.55818905635206384</v>
      </c>
      <c r="K51" s="228">
        <v>0.30331501776206199</v>
      </c>
      <c r="L51" s="228" t="s">
        <v>31</v>
      </c>
      <c r="M51" s="228" t="s">
        <v>31</v>
      </c>
      <c r="N51" s="228" t="s">
        <v>31</v>
      </c>
      <c r="O51" s="228" t="s">
        <v>241</v>
      </c>
      <c r="P51" s="229" t="s">
        <v>246</v>
      </c>
      <c r="Q51" t="s">
        <v>202</v>
      </c>
    </row>
    <row r="52" spans="1:24">
      <c r="A52" s="233" t="s">
        <v>247</v>
      </c>
      <c r="B52" s="204">
        <f>B48*(1-1/1.2)</f>
        <v>1.7475049999999996</v>
      </c>
      <c r="C52" s="42" t="s">
        <v>248</v>
      </c>
      <c r="D52" s="204" t="s">
        <v>37</v>
      </c>
      <c r="E52" s="204" t="s">
        <v>40</v>
      </c>
      <c r="F52" s="204" t="s">
        <v>29</v>
      </c>
      <c r="G52" s="204" t="s">
        <v>128</v>
      </c>
      <c r="H52" s="204" t="s">
        <v>33</v>
      </c>
      <c r="I52" s="204">
        <v>2</v>
      </c>
      <c r="J52" s="204">
        <f t="shared" si="2"/>
        <v>0.55818905635206384</v>
      </c>
      <c r="K52" s="204">
        <v>0.30331501776206199</v>
      </c>
      <c r="L52" s="204" t="s">
        <v>31</v>
      </c>
      <c r="M52" s="204" t="s">
        <v>31</v>
      </c>
      <c r="N52" s="204" t="s">
        <v>31</v>
      </c>
      <c r="O52" s="204" t="s">
        <v>241</v>
      </c>
      <c r="P52" s="234" t="s">
        <v>246</v>
      </c>
      <c r="Q52" t="s">
        <v>202</v>
      </c>
    </row>
    <row r="53" spans="1:24">
      <c r="A53" s="230" t="s">
        <v>238</v>
      </c>
      <c r="B53" s="231">
        <f>B48*(1-1/1.2)</f>
        <v>1.7475049999999996</v>
      </c>
      <c r="C53" s="231"/>
      <c r="D53" s="231" t="s">
        <v>37</v>
      </c>
      <c r="E53" s="231" t="s">
        <v>40</v>
      </c>
      <c r="F53" s="231" t="s">
        <v>29</v>
      </c>
      <c r="G53" s="231" t="s">
        <v>58</v>
      </c>
      <c r="H53" s="231" t="s">
        <v>243</v>
      </c>
      <c r="I53" s="231">
        <v>2</v>
      </c>
      <c r="J53" s="231">
        <f t="shared" si="2"/>
        <v>0.55818905635206384</v>
      </c>
      <c r="K53" s="231">
        <v>0.30331501776206199</v>
      </c>
      <c r="L53" s="231" t="s">
        <v>31</v>
      </c>
      <c r="M53" s="231" t="s">
        <v>31</v>
      </c>
      <c r="N53" s="231" t="s">
        <v>31</v>
      </c>
      <c r="O53" s="231" t="s">
        <v>241</v>
      </c>
      <c r="P53" s="232" t="s">
        <v>249</v>
      </c>
      <c r="Q53" t="s">
        <v>202</v>
      </c>
      <c r="S53" s="197" t="s">
        <v>250</v>
      </c>
    </row>
    <row r="54" spans="1:24">
      <c r="A54" t="s">
        <v>75</v>
      </c>
      <c r="B54" s="218">
        <f>S54</f>
        <v>1398.7686601475518</v>
      </c>
      <c r="C54" s="219"/>
      <c r="D54" t="s">
        <v>39</v>
      </c>
      <c r="E54" t="s">
        <v>40</v>
      </c>
      <c r="F54" t="s">
        <v>29</v>
      </c>
      <c r="G54" t="s">
        <v>58</v>
      </c>
      <c r="H54" t="s">
        <v>33</v>
      </c>
      <c r="I54">
        <v>2</v>
      </c>
      <c r="J54">
        <f t="shared" si="2"/>
        <v>7.2433476001252126</v>
      </c>
      <c r="K54">
        <v>0.28635642126552707</v>
      </c>
      <c r="L54" t="s">
        <v>31</v>
      </c>
      <c r="M54" t="s">
        <v>31</v>
      </c>
      <c r="N54" t="s">
        <v>31</v>
      </c>
      <c r="P54" s="22"/>
      <c r="Q54" t="s">
        <v>202</v>
      </c>
      <c r="S54" s="22">
        <v>1398.7686601475518</v>
      </c>
    </row>
    <row r="55" spans="1:24">
      <c r="A55" s="22" t="s">
        <v>77</v>
      </c>
      <c r="B55" s="220">
        <f>W55</f>
        <v>132.20785167618473</v>
      </c>
      <c r="C55" s="219"/>
      <c r="D55" s="22" t="s">
        <v>42</v>
      </c>
      <c r="E55" s="22" t="s">
        <v>40</v>
      </c>
      <c r="F55" s="22" t="s">
        <v>29</v>
      </c>
      <c r="G55" s="22" t="s">
        <v>217</v>
      </c>
      <c r="H55" s="22" t="s">
        <v>33</v>
      </c>
      <c r="I55">
        <v>2</v>
      </c>
      <c r="J55">
        <f t="shared" si="2"/>
        <v>4.8843753180607701</v>
      </c>
      <c r="K55">
        <v>0.28635642126552707</v>
      </c>
      <c r="L55" t="s">
        <v>31</v>
      </c>
      <c r="M55" t="s">
        <v>31</v>
      </c>
      <c r="N55" t="s">
        <v>31</v>
      </c>
      <c r="P55" s="22"/>
      <c r="Q55" t="s">
        <v>202</v>
      </c>
      <c r="R55" s="22"/>
      <c r="S55" s="209">
        <v>1406.5457694573474</v>
      </c>
      <c r="T55" s="22" t="s">
        <v>216</v>
      </c>
      <c r="U55" s="22">
        <f>S55/0.277778</f>
        <v>5063.5607191978752</v>
      </c>
      <c r="V55" s="22" t="s">
        <v>218</v>
      </c>
      <c r="W55" s="22">
        <f>U55/38.3</f>
        <v>132.20785167618473</v>
      </c>
      <c r="X55" s="22" t="s">
        <v>219</v>
      </c>
    </row>
    <row r="56" spans="1:24">
      <c r="A56" s="42" t="s">
        <v>220</v>
      </c>
      <c r="B56" s="221">
        <f>U56</f>
        <v>631.94517664554837</v>
      </c>
      <c r="C56" s="22"/>
      <c r="D56" s="22" t="s">
        <v>170</v>
      </c>
      <c r="E56" s="22" t="s">
        <v>40</v>
      </c>
      <c r="F56" s="22" t="s">
        <v>29</v>
      </c>
      <c r="G56" s="22" t="s">
        <v>58</v>
      </c>
      <c r="H56" s="22" t="s">
        <v>33</v>
      </c>
      <c r="I56">
        <v>2</v>
      </c>
      <c r="J56">
        <f t="shared" si="2"/>
        <v>6.4488026445702156</v>
      </c>
      <c r="K56">
        <v>0.28635642126552707</v>
      </c>
      <c r="L56" t="s">
        <v>31</v>
      </c>
      <c r="M56" t="s">
        <v>31</v>
      </c>
      <c r="N56" t="s">
        <v>31</v>
      </c>
      <c r="P56" s="22"/>
      <c r="Q56" t="s">
        <v>202</v>
      </c>
      <c r="R56" s="42"/>
      <c r="S56" s="209">
        <v>175.54046727824715</v>
      </c>
      <c r="T56" s="22" t="s">
        <v>216</v>
      </c>
      <c r="U56" s="22">
        <f>S56/0.277778</f>
        <v>631.94517664554837</v>
      </c>
      <c r="V56" s="22" t="s">
        <v>218</v>
      </c>
    </row>
    <row r="57" spans="1:24">
      <c r="A57" s="42" t="s">
        <v>71</v>
      </c>
      <c r="B57" s="220">
        <f>W57</f>
        <v>29.90811965645608</v>
      </c>
      <c r="C57" s="219"/>
      <c r="D57" s="22" t="s">
        <v>37</v>
      </c>
      <c r="E57" s="22" t="s">
        <v>40</v>
      </c>
      <c r="F57" s="22" t="s">
        <v>29</v>
      </c>
      <c r="G57" s="22" t="s">
        <v>58</v>
      </c>
      <c r="H57" s="22" t="s">
        <v>33</v>
      </c>
      <c r="I57">
        <v>2</v>
      </c>
      <c r="J57">
        <f t="shared" si="2"/>
        <v>3.3981300039473763</v>
      </c>
      <c r="K57">
        <v>0.28635642126552707</v>
      </c>
      <c r="L57" t="s">
        <v>31</v>
      </c>
      <c r="M57" t="s">
        <v>31</v>
      </c>
      <c r="N57" t="s">
        <v>31</v>
      </c>
      <c r="P57" s="22"/>
      <c r="Q57" t="s">
        <v>202</v>
      </c>
      <c r="R57" s="42"/>
      <c r="S57" s="209">
        <v>372.19023125451133</v>
      </c>
      <c r="T57" s="22" t="s">
        <v>216</v>
      </c>
      <c r="U57" s="22">
        <f>S57/0.277778</f>
        <v>1339.8837606092322</v>
      </c>
      <c r="V57" s="22" t="s">
        <v>218</v>
      </c>
      <c r="W57" s="22">
        <f>U57/44.8</f>
        <v>29.90811965645608</v>
      </c>
      <c r="X57" s="22" t="s">
        <v>221</v>
      </c>
    </row>
    <row r="58" spans="1:24">
      <c r="A58" s="42" t="s">
        <v>222</v>
      </c>
      <c r="B58" s="220">
        <f t="shared" ref="B58" si="3">W58</f>
        <v>59.042496913839649</v>
      </c>
      <c r="C58" s="219"/>
      <c r="D58" s="22" t="s">
        <v>37</v>
      </c>
      <c r="E58" s="22" t="s">
        <v>40</v>
      </c>
      <c r="F58" s="22" t="s">
        <v>29</v>
      </c>
      <c r="G58" s="22" t="s">
        <v>128</v>
      </c>
      <c r="H58" s="22" t="s">
        <v>33</v>
      </c>
      <c r="I58">
        <v>2</v>
      </c>
      <c r="J58">
        <f t="shared" si="2"/>
        <v>4.0782574712990183</v>
      </c>
      <c r="K58">
        <v>0.28635642126552707</v>
      </c>
      <c r="L58" t="s">
        <v>31</v>
      </c>
      <c r="M58" t="s">
        <v>31</v>
      </c>
      <c r="N58" t="s">
        <v>31</v>
      </c>
      <c r="P58" s="22"/>
      <c r="Q58" t="s">
        <v>202</v>
      </c>
      <c r="R58" s="42"/>
      <c r="S58" s="209">
        <v>757.71264989724398</v>
      </c>
      <c r="T58" s="22" t="s">
        <v>216</v>
      </c>
      <c r="U58" s="22">
        <f>S58/0.277778</f>
        <v>2727.7633574193919</v>
      </c>
      <c r="V58" s="22" t="s">
        <v>218</v>
      </c>
      <c r="W58" s="22">
        <f>U58/46.2</f>
        <v>59.042496913839649</v>
      </c>
      <c r="X58" s="22" t="s">
        <v>221</v>
      </c>
    </row>
    <row r="59" spans="1:24" s="129" customFormat="1">
      <c r="A59" s="22" t="s">
        <v>223</v>
      </c>
      <c r="B59" s="220">
        <f>W59</f>
        <v>0.36360481970399799</v>
      </c>
      <c r="C59" s="209"/>
      <c r="D59" s="22" t="s">
        <v>37</v>
      </c>
      <c r="E59" s="22" t="s">
        <v>2</v>
      </c>
      <c r="F59" s="22" t="s">
        <v>224</v>
      </c>
      <c r="G59" s="22" t="s">
        <v>58</v>
      </c>
      <c r="H59" s="22" t="s">
        <v>33</v>
      </c>
      <c r="I59" s="22">
        <v>2</v>
      </c>
      <c r="J59" s="22">
        <f t="shared" si="2"/>
        <v>-1.0116876612551211</v>
      </c>
      <c r="K59" s="22">
        <v>0.28635642126552707</v>
      </c>
      <c r="L59" s="22" t="s">
        <v>31</v>
      </c>
      <c r="M59" s="22" t="s">
        <v>31</v>
      </c>
      <c r="N59" s="22" t="s">
        <v>31</v>
      </c>
      <c r="O59" s="22"/>
      <c r="P59" s="22"/>
      <c r="Q59" t="s">
        <v>202</v>
      </c>
      <c r="R59" s="222"/>
      <c r="S59" s="209">
        <v>4.444062462740435</v>
      </c>
      <c r="T59" s="22" t="s">
        <v>216</v>
      </c>
      <c r="U59" s="22">
        <f>S59/0.277778</f>
        <v>15.998612066975911</v>
      </c>
      <c r="V59" s="22" t="s">
        <v>218</v>
      </c>
      <c r="W59" s="22">
        <f>U59/44</f>
        <v>0.36360481970399799</v>
      </c>
      <c r="X59" s="22" t="s">
        <v>221</v>
      </c>
    </row>
    <row r="60" spans="1:24">
      <c r="A60" t="s">
        <v>79</v>
      </c>
      <c r="B60" s="219">
        <f>3.42036156429202*997.42788</f>
        <v>3411.5639839052728</v>
      </c>
      <c r="C60" s="219"/>
      <c r="D60" t="s">
        <v>37</v>
      </c>
      <c r="E60" t="s">
        <v>40</v>
      </c>
      <c r="F60" t="s">
        <v>29</v>
      </c>
      <c r="G60" t="s">
        <v>58</v>
      </c>
      <c r="H60" t="s">
        <v>33</v>
      </c>
      <c r="I60">
        <v>2</v>
      </c>
      <c r="J60">
        <f t="shared" si="2"/>
        <v>8.1349261114380251</v>
      </c>
      <c r="K60">
        <v>0.28635642126552707</v>
      </c>
      <c r="L60" t="s">
        <v>31</v>
      </c>
      <c r="M60" t="s">
        <v>31</v>
      </c>
      <c r="N60" t="s">
        <v>31</v>
      </c>
      <c r="O60" t="s">
        <v>225</v>
      </c>
      <c r="P60" s="22"/>
      <c r="Q60" t="s">
        <v>202</v>
      </c>
    </row>
    <row r="61" spans="1:24">
      <c r="A61" s="104" t="s">
        <v>226</v>
      </c>
      <c r="B61" s="219">
        <v>3.1894458566967945</v>
      </c>
      <c r="C61" s="219"/>
      <c r="D61" s="22" t="s">
        <v>42</v>
      </c>
      <c r="E61" s="22" t="s">
        <v>40</v>
      </c>
      <c r="F61" s="22" t="s">
        <v>29</v>
      </c>
      <c r="G61" s="60" t="s">
        <v>128</v>
      </c>
      <c r="H61" s="22" t="s">
        <v>33</v>
      </c>
      <c r="I61">
        <v>2</v>
      </c>
      <c r="J61">
        <f t="shared" si="2"/>
        <v>1.1598471890727322</v>
      </c>
      <c r="K61">
        <v>0.28635642126552707</v>
      </c>
      <c r="L61" t="s">
        <v>31</v>
      </c>
      <c r="M61" t="s">
        <v>31</v>
      </c>
      <c r="N61" t="s">
        <v>31</v>
      </c>
      <c r="P61" s="22"/>
      <c r="Q61" t="s">
        <v>202</v>
      </c>
    </row>
    <row r="62" spans="1:24">
      <c r="A62" t="s">
        <v>227</v>
      </c>
      <c r="B62" s="219">
        <v>77.393347788624666</v>
      </c>
      <c r="C62" s="219"/>
      <c r="D62" t="s">
        <v>37</v>
      </c>
      <c r="E62" t="s">
        <v>40</v>
      </c>
      <c r="F62" t="s">
        <v>29</v>
      </c>
      <c r="G62" t="s">
        <v>128</v>
      </c>
      <c r="H62" t="s">
        <v>33</v>
      </c>
      <c r="I62">
        <v>2</v>
      </c>
      <c r="J62">
        <f t="shared" si="2"/>
        <v>4.34890083101872</v>
      </c>
      <c r="K62">
        <v>0.28635642126552707</v>
      </c>
      <c r="L62" t="s">
        <v>31</v>
      </c>
      <c r="M62" t="s">
        <v>31</v>
      </c>
      <c r="N62" t="s">
        <v>31</v>
      </c>
      <c r="P62" s="22"/>
      <c r="Q62" t="s">
        <v>202</v>
      </c>
    </row>
    <row r="63" spans="1:24">
      <c r="A63" t="s">
        <v>229</v>
      </c>
      <c r="B63" s="219">
        <v>1454.0183556999566</v>
      </c>
      <c r="C63" s="219"/>
      <c r="D63" t="s">
        <v>37</v>
      </c>
      <c r="E63" t="s">
        <v>43</v>
      </c>
      <c r="F63" t="s">
        <v>44</v>
      </c>
      <c r="G63" t="s">
        <v>29</v>
      </c>
      <c r="H63" t="s">
        <v>45</v>
      </c>
      <c r="I63">
        <v>2</v>
      </c>
      <c r="J63">
        <f t="shared" si="2"/>
        <v>7.2820862822916039</v>
      </c>
      <c r="K63">
        <v>0.28635642126552707</v>
      </c>
      <c r="L63" t="s">
        <v>31</v>
      </c>
      <c r="M63" t="s">
        <v>31</v>
      </c>
      <c r="N63" t="s">
        <v>31</v>
      </c>
      <c r="P63" s="22"/>
      <c r="Q63" t="s">
        <v>202</v>
      </c>
    </row>
    <row r="64" spans="1:24">
      <c r="A64" t="s">
        <v>230</v>
      </c>
      <c r="B64" s="219">
        <v>1.5554218619591499E-2</v>
      </c>
      <c r="C64" s="219"/>
      <c r="D64" t="s">
        <v>37</v>
      </c>
      <c r="E64" t="s">
        <v>43</v>
      </c>
      <c r="F64" t="s">
        <v>44</v>
      </c>
      <c r="G64" t="s">
        <v>29</v>
      </c>
      <c r="H64" t="s">
        <v>45</v>
      </c>
      <c r="I64">
        <v>2</v>
      </c>
      <c r="J64">
        <f t="shared" si="2"/>
        <v>-4.1634233832860152</v>
      </c>
      <c r="K64">
        <v>0.28635642126552707</v>
      </c>
      <c r="L64" t="s">
        <v>31</v>
      </c>
      <c r="M64" t="s">
        <v>31</v>
      </c>
      <c r="N64" t="s">
        <v>31</v>
      </c>
      <c r="P64" s="22"/>
      <c r="Q64" t="s">
        <v>202</v>
      </c>
    </row>
    <row r="65" spans="1:24">
      <c r="A65" t="s">
        <v>231</v>
      </c>
      <c r="B65">
        <v>0.24664546668209411</v>
      </c>
      <c r="D65" t="s">
        <v>37</v>
      </c>
      <c r="E65" t="s">
        <v>43</v>
      </c>
      <c r="F65" t="s">
        <v>44</v>
      </c>
      <c r="G65" t="s">
        <v>29</v>
      </c>
      <c r="H65" t="s">
        <v>45</v>
      </c>
      <c r="I65">
        <v>2</v>
      </c>
      <c r="J65">
        <f t="shared" si="2"/>
        <v>-1.3998033310289926</v>
      </c>
      <c r="K65">
        <v>0.28635642126552707</v>
      </c>
      <c r="L65" t="s">
        <v>31</v>
      </c>
      <c r="M65" t="s">
        <v>31</v>
      </c>
      <c r="N65" t="s">
        <v>31</v>
      </c>
      <c r="P65" s="22"/>
      <c r="Q65" t="s">
        <v>202</v>
      </c>
    </row>
    <row r="66" spans="1:24">
      <c r="A66" t="s">
        <v>232</v>
      </c>
      <c r="B66">
        <v>1.167677412085049</v>
      </c>
      <c r="D66" t="s">
        <v>37</v>
      </c>
      <c r="E66" t="s">
        <v>43</v>
      </c>
      <c r="F66" t="s">
        <v>44</v>
      </c>
      <c r="G66" t="s">
        <v>29</v>
      </c>
      <c r="H66" t="s">
        <v>45</v>
      </c>
      <c r="I66">
        <v>2</v>
      </c>
      <c r="J66">
        <f t="shared" si="2"/>
        <v>0.15501665797567896</v>
      </c>
      <c r="K66">
        <v>0.28635642126552702</v>
      </c>
      <c r="L66" t="s">
        <v>31</v>
      </c>
      <c r="M66" t="s">
        <v>31</v>
      </c>
      <c r="N66" t="s">
        <v>31</v>
      </c>
      <c r="P66" s="22"/>
      <c r="Q66" t="s">
        <v>202</v>
      </c>
    </row>
    <row r="67" spans="1:24" s="41" customFormat="1">
      <c r="A67" s="206" t="s">
        <v>5</v>
      </c>
      <c r="B67" s="206" t="s">
        <v>209</v>
      </c>
      <c r="C67" s="206"/>
      <c r="D67" s="39"/>
      <c r="Q67" s="41" t="s">
        <v>202</v>
      </c>
      <c r="S67" s="207"/>
      <c r="T67" s="207"/>
      <c r="U67" s="207"/>
      <c r="V67" s="207"/>
      <c r="W67" s="207"/>
      <c r="X67" s="207"/>
    </row>
    <row r="68" spans="1:24">
      <c r="A68" t="s">
        <v>7</v>
      </c>
      <c r="B68" t="s">
        <v>203</v>
      </c>
      <c r="Q68" t="s">
        <v>202</v>
      </c>
    </row>
    <row r="69" spans="1:24">
      <c r="A69" t="s">
        <v>9</v>
      </c>
      <c r="B69" s="208" t="s">
        <v>251</v>
      </c>
      <c r="C69" s="22"/>
      <c r="Q69" t="s">
        <v>202</v>
      </c>
    </row>
    <row r="70" spans="1:24">
      <c r="A70" t="s">
        <v>11</v>
      </c>
      <c r="B70" t="s">
        <v>252</v>
      </c>
      <c r="Q70" t="s">
        <v>202</v>
      </c>
    </row>
    <row r="71" spans="1:24">
      <c r="A71" t="s">
        <v>13</v>
      </c>
      <c r="B71" t="s">
        <v>14</v>
      </c>
      <c r="Q71" t="s">
        <v>202</v>
      </c>
    </row>
    <row r="72" spans="1:24">
      <c r="A72" t="s">
        <v>15</v>
      </c>
      <c r="B72">
        <v>1</v>
      </c>
      <c r="Q72" t="s">
        <v>202</v>
      </c>
    </row>
    <row r="73" spans="1:24">
      <c r="A73" t="s">
        <v>16</v>
      </c>
      <c r="B73" t="s">
        <v>17</v>
      </c>
      <c r="Q73" t="s">
        <v>202</v>
      </c>
    </row>
    <row r="74" spans="1:24">
      <c r="A74" t="s">
        <v>18</v>
      </c>
      <c r="B74" t="s">
        <v>18</v>
      </c>
      <c r="E74" t="s">
        <v>197</v>
      </c>
      <c r="Q74" t="s">
        <v>202</v>
      </c>
    </row>
    <row r="75" spans="1:24">
      <c r="A75" s="159" t="s">
        <v>19</v>
      </c>
      <c r="Q75" t="s">
        <v>202</v>
      </c>
    </row>
    <row r="76" spans="1:24">
      <c r="A76" s="159" t="s">
        <v>20</v>
      </c>
      <c r="B76" s="159" t="s">
        <v>21</v>
      </c>
      <c r="C76" s="159" t="s">
        <v>198</v>
      </c>
      <c r="D76" s="159" t="s">
        <v>18</v>
      </c>
      <c r="E76" s="159" t="s">
        <v>22</v>
      </c>
      <c r="F76" s="159" t="s">
        <v>7</v>
      </c>
      <c r="G76" s="159" t="s">
        <v>13</v>
      </c>
      <c r="H76" s="159" t="s">
        <v>16</v>
      </c>
      <c r="I76" s="159" t="s">
        <v>23</v>
      </c>
      <c r="J76" s="159" t="s">
        <v>24</v>
      </c>
      <c r="K76" s="159" t="s">
        <v>25</v>
      </c>
      <c r="L76" s="159" t="s">
        <v>26</v>
      </c>
      <c r="M76" s="159" t="s">
        <v>27</v>
      </c>
      <c r="N76" s="159" t="s">
        <v>28</v>
      </c>
      <c r="O76" s="159" t="s">
        <v>11</v>
      </c>
      <c r="P76" s="197" t="s">
        <v>206</v>
      </c>
      <c r="Q76" t="s">
        <v>202</v>
      </c>
    </row>
    <row r="77" spans="1:24">
      <c r="A77" s="24" t="str">
        <f>B67</f>
        <v>Production of Propellers, EM</v>
      </c>
      <c r="B77" s="235">
        <v>1</v>
      </c>
      <c r="C77" s="235"/>
      <c r="D77" t="s">
        <v>18</v>
      </c>
      <c r="E77" t="s">
        <v>2</v>
      </c>
      <c r="F77" t="s">
        <v>29</v>
      </c>
      <c r="G77" t="s">
        <v>14</v>
      </c>
      <c r="H77" t="s">
        <v>30</v>
      </c>
      <c r="I77">
        <v>1</v>
      </c>
      <c r="J77">
        <v>1</v>
      </c>
      <c r="K77" t="s">
        <v>31</v>
      </c>
      <c r="L77" t="s">
        <v>31</v>
      </c>
      <c r="M77" t="s">
        <v>31</v>
      </c>
      <c r="N77" t="s">
        <v>31</v>
      </c>
      <c r="Q77" t="s">
        <v>202</v>
      </c>
    </row>
    <row r="78" spans="1:24">
      <c r="A78" s="226" t="s">
        <v>253</v>
      </c>
      <c r="B78" s="236">
        <f>56.3189493371027*1.5*0.2</f>
        <v>16.895684801130809</v>
      </c>
      <c r="C78" s="237"/>
      <c r="D78" s="205" t="s">
        <v>37</v>
      </c>
      <c r="E78" s="205" t="s">
        <v>40</v>
      </c>
      <c r="F78" s="205" t="s">
        <v>29</v>
      </c>
      <c r="G78" s="205" t="s">
        <v>58</v>
      </c>
      <c r="H78" s="205" t="s">
        <v>33</v>
      </c>
      <c r="I78" s="205">
        <v>2</v>
      </c>
      <c r="J78" s="205">
        <f t="shared" ref="J78:J99" si="4">LN(B78)</f>
        <v>2.8270582521137371</v>
      </c>
      <c r="K78" s="205">
        <v>0.30331501776206199</v>
      </c>
      <c r="L78" s="205" t="s">
        <v>31</v>
      </c>
      <c r="M78" s="205" t="s">
        <v>31</v>
      </c>
      <c r="N78" s="205" t="s">
        <v>31</v>
      </c>
      <c r="O78" s="205" t="s">
        <v>236</v>
      </c>
      <c r="P78" s="22" t="s">
        <v>254</v>
      </c>
      <c r="Q78" t="s">
        <v>202</v>
      </c>
    </row>
    <row r="79" spans="1:24">
      <c r="A79" s="226" t="s">
        <v>235</v>
      </c>
      <c r="B79" s="237">
        <f>56.3189493371027*1.5*0.8</f>
        <v>67.582739204523236</v>
      </c>
      <c r="C79" s="237"/>
      <c r="D79" s="205" t="s">
        <v>37</v>
      </c>
      <c r="E79" s="205" t="s">
        <v>40</v>
      </c>
      <c r="F79" s="205" t="s">
        <v>29</v>
      </c>
      <c r="G79" s="205" t="s">
        <v>58</v>
      </c>
      <c r="H79" s="205" t="s">
        <v>33</v>
      </c>
      <c r="I79" s="205">
        <v>2</v>
      </c>
      <c r="J79" s="205">
        <f t="shared" si="4"/>
        <v>4.2133526132336279</v>
      </c>
      <c r="K79" s="205">
        <v>0.30331501776206199</v>
      </c>
      <c r="L79" s="205" t="s">
        <v>31</v>
      </c>
      <c r="M79" s="205" t="s">
        <v>31</v>
      </c>
      <c r="N79" s="205" t="s">
        <v>31</v>
      </c>
      <c r="O79" s="205" t="s">
        <v>236</v>
      </c>
      <c r="P79" s="22" t="s">
        <v>255</v>
      </c>
      <c r="Q79" t="s">
        <v>202</v>
      </c>
    </row>
    <row r="80" spans="1:24">
      <c r="A80" s="226" t="s">
        <v>238</v>
      </c>
      <c r="B80" s="237">
        <f>56.3189493371027*30</f>
        <v>1689.568480113081</v>
      </c>
      <c r="C80" s="237"/>
      <c r="D80" s="205" t="s">
        <v>37</v>
      </c>
      <c r="E80" s="205" t="s">
        <v>40</v>
      </c>
      <c r="F80" s="205" t="s">
        <v>29</v>
      </c>
      <c r="G80" s="205" t="s">
        <v>58</v>
      </c>
      <c r="H80" s="205" t="s">
        <v>33</v>
      </c>
      <c r="I80" s="205">
        <v>2</v>
      </c>
      <c r="J80" s="205">
        <f t="shared" si="4"/>
        <v>7.4322284381018289</v>
      </c>
      <c r="K80" s="205">
        <v>0.30331501776206199</v>
      </c>
      <c r="L80" s="205" t="s">
        <v>31</v>
      </c>
      <c r="M80" s="205" t="s">
        <v>31</v>
      </c>
      <c r="N80" s="205" t="s">
        <v>31</v>
      </c>
      <c r="O80" s="205" t="s">
        <v>236</v>
      </c>
      <c r="P80" s="22" t="s">
        <v>256</v>
      </c>
      <c r="Q80" t="s">
        <v>202</v>
      </c>
    </row>
    <row r="81" spans="1:24" s="129" customFormat="1">
      <c r="A81" s="238" t="s">
        <v>257</v>
      </c>
      <c r="B81" s="239">
        <f>B78*(1-1/1.5)</f>
        <v>5.6318949337102699</v>
      </c>
      <c r="C81" s="239"/>
      <c r="D81" s="240" t="s">
        <v>37</v>
      </c>
      <c r="E81" s="240" t="s">
        <v>40</v>
      </c>
      <c r="F81" s="240" t="s">
        <v>29</v>
      </c>
      <c r="G81" s="240" t="s">
        <v>128</v>
      </c>
      <c r="H81" s="240" t="s">
        <v>33</v>
      </c>
      <c r="I81" s="240">
        <v>2</v>
      </c>
      <c r="J81" s="240">
        <f t="shared" si="4"/>
        <v>1.7284459634456275</v>
      </c>
      <c r="K81" s="240">
        <v>0.30331501776206199</v>
      </c>
      <c r="L81" s="240" t="s">
        <v>31</v>
      </c>
      <c r="M81" s="240" t="s">
        <v>31</v>
      </c>
      <c r="N81" s="240" t="s">
        <v>31</v>
      </c>
      <c r="O81" s="240" t="s">
        <v>241</v>
      </c>
      <c r="P81" s="241" t="s">
        <v>258</v>
      </c>
      <c r="Q81" t="s">
        <v>202</v>
      </c>
      <c r="R81" s="22"/>
      <c r="S81" s="22"/>
      <c r="T81" s="22"/>
      <c r="U81" s="22"/>
      <c r="V81" s="22"/>
      <c r="W81" s="22"/>
      <c r="X81" s="22"/>
    </row>
    <row r="82" spans="1:24">
      <c r="A82" s="227" t="s">
        <v>240</v>
      </c>
      <c r="B82" s="242">
        <f>B79*(1-1/1.5)</f>
        <v>22.52757973484108</v>
      </c>
      <c r="C82" s="242"/>
      <c r="D82" s="243" t="s">
        <v>37</v>
      </c>
      <c r="E82" s="243" t="s">
        <v>40</v>
      </c>
      <c r="F82" s="243" t="s">
        <v>29</v>
      </c>
      <c r="G82" s="243" t="s">
        <v>128</v>
      </c>
      <c r="H82" s="243" t="s">
        <v>33</v>
      </c>
      <c r="I82" s="243">
        <v>2</v>
      </c>
      <c r="J82" s="243">
        <f t="shared" si="4"/>
        <v>3.1147403245655183</v>
      </c>
      <c r="K82" s="243">
        <v>0.30331501776206199</v>
      </c>
      <c r="L82" s="243" t="s">
        <v>31</v>
      </c>
      <c r="M82" s="243" t="s">
        <v>31</v>
      </c>
      <c r="N82" s="243" t="s">
        <v>31</v>
      </c>
      <c r="O82" s="243" t="s">
        <v>241</v>
      </c>
      <c r="P82" s="229" t="s">
        <v>259</v>
      </c>
      <c r="Q82" t="s">
        <v>202</v>
      </c>
      <c r="R82" s="22"/>
    </row>
    <row r="83" spans="1:24">
      <c r="A83" s="230" t="s">
        <v>235</v>
      </c>
      <c r="B83" s="244">
        <f>B79*(1-1/1.5)</f>
        <v>22.52757973484108</v>
      </c>
      <c r="C83" s="244"/>
      <c r="D83" s="245" t="s">
        <v>37</v>
      </c>
      <c r="E83" s="245" t="s">
        <v>40</v>
      </c>
      <c r="F83" s="245" t="s">
        <v>29</v>
      </c>
      <c r="G83" s="245" t="s">
        <v>58</v>
      </c>
      <c r="H83" s="245" t="s">
        <v>243</v>
      </c>
      <c r="I83" s="245">
        <v>2</v>
      </c>
      <c r="J83" s="245">
        <f t="shared" si="4"/>
        <v>3.1147403245655183</v>
      </c>
      <c r="K83" s="245">
        <v>0.30331501776206199</v>
      </c>
      <c r="L83" s="245" t="s">
        <v>31</v>
      </c>
      <c r="M83" s="245" t="s">
        <v>31</v>
      </c>
      <c r="N83" s="245" t="s">
        <v>31</v>
      </c>
      <c r="O83" s="245" t="s">
        <v>241</v>
      </c>
      <c r="P83" s="232" t="s">
        <v>260</v>
      </c>
      <c r="Q83" t="s">
        <v>202</v>
      </c>
      <c r="R83" s="22"/>
    </row>
    <row r="84" spans="1:24">
      <c r="A84" s="227" t="s">
        <v>245</v>
      </c>
      <c r="B84" s="242">
        <f>B80*(1-1/30)</f>
        <v>1633.2495307759784</v>
      </c>
      <c r="C84" s="242"/>
      <c r="D84" s="243" t="s">
        <v>37</v>
      </c>
      <c r="E84" s="243" t="s">
        <v>40</v>
      </c>
      <c r="F84" s="243" t="s">
        <v>29</v>
      </c>
      <c r="G84" s="243" t="s">
        <v>128</v>
      </c>
      <c r="H84" s="243" t="s">
        <v>33</v>
      </c>
      <c r="I84" s="243">
        <v>2</v>
      </c>
      <c r="J84" s="243">
        <f t="shared" si="4"/>
        <v>7.3983268864261476</v>
      </c>
      <c r="K84" s="243">
        <v>0.30331501776206199</v>
      </c>
      <c r="L84" s="243" t="s">
        <v>31</v>
      </c>
      <c r="M84" s="243" t="s">
        <v>31</v>
      </c>
      <c r="N84" s="243" t="s">
        <v>31</v>
      </c>
      <c r="O84" s="243" t="s">
        <v>241</v>
      </c>
      <c r="P84" s="229" t="s">
        <v>261</v>
      </c>
      <c r="Q84" t="s">
        <v>202</v>
      </c>
      <c r="R84" s="22"/>
    </row>
    <row r="85" spans="1:24">
      <c r="A85" s="233" t="s">
        <v>247</v>
      </c>
      <c r="B85" s="246">
        <f>B80*(1-1/30)</f>
        <v>1633.2495307759784</v>
      </c>
      <c r="C85" s="42" t="s">
        <v>248</v>
      </c>
      <c r="D85" s="203" t="s">
        <v>37</v>
      </c>
      <c r="E85" s="203" t="s">
        <v>40</v>
      </c>
      <c r="F85" s="203" t="s">
        <v>29</v>
      </c>
      <c r="G85" s="203" t="s">
        <v>128</v>
      </c>
      <c r="H85" s="203" t="s">
        <v>33</v>
      </c>
      <c r="I85" s="203">
        <v>2</v>
      </c>
      <c r="J85" s="203">
        <f t="shared" si="4"/>
        <v>7.3983268864261476</v>
      </c>
      <c r="K85" s="203">
        <v>0.30331501776206199</v>
      </c>
      <c r="L85" s="203" t="s">
        <v>31</v>
      </c>
      <c r="M85" s="203" t="s">
        <v>31</v>
      </c>
      <c r="N85" s="203" t="s">
        <v>31</v>
      </c>
      <c r="O85" s="203" t="s">
        <v>241</v>
      </c>
      <c r="P85" s="234" t="s">
        <v>261</v>
      </c>
      <c r="Q85" t="s">
        <v>202</v>
      </c>
      <c r="R85" s="22"/>
    </row>
    <row r="86" spans="1:24">
      <c r="A86" s="230" t="s">
        <v>238</v>
      </c>
      <c r="B86" s="247">
        <f>B80*(1-1/30)</f>
        <v>1633.2495307759784</v>
      </c>
      <c r="C86" s="247"/>
      <c r="D86" s="231" t="s">
        <v>37</v>
      </c>
      <c r="E86" s="231" t="s">
        <v>40</v>
      </c>
      <c r="F86" s="231" t="s">
        <v>29</v>
      </c>
      <c r="G86" s="231" t="s">
        <v>58</v>
      </c>
      <c r="H86" s="231" t="s">
        <v>243</v>
      </c>
      <c r="I86" s="231">
        <v>2</v>
      </c>
      <c r="J86" s="231">
        <f t="shared" si="4"/>
        <v>7.3983268864261476</v>
      </c>
      <c r="K86" s="231">
        <v>0.30331501776206199</v>
      </c>
      <c r="L86" s="231" t="s">
        <v>31</v>
      </c>
      <c r="M86" s="231" t="s">
        <v>31</v>
      </c>
      <c r="N86" s="231" t="s">
        <v>31</v>
      </c>
      <c r="O86" s="231" t="s">
        <v>241</v>
      </c>
      <c r="P86" s="232" t="s">
        <v>262</v>
      </c>
      <c r="Q86" t="s">
        <v>202</v>
      </c>
      <c r="S86" s="197" t="s">
        <v>250</v>
      </c>
    </row>
    <row r="87" spans="1:24">
      <c r="A87" t="s">
        <v>75</v>
      </c>
      <c r="B87" s="218">
        <f>S87</f>
        <v>4507.9803093654627</v>
      </c>
      <c r="C87" s="219"/>
      <c r="D87" t="s">
        <v>39</v>
      </c>
      <c r="E87" t="s">
        <v>40</v>
      </c>
      <c r="F87" t="s">
        <v>29</v>
      </c>
      <c r="G87" t="s">
        <v>58</v>
      </c>
      <c r="H87" t="s">
        <v>33</v>
      </c>
      <c r="I87">
        <v>2</v>
      </c>
      <c r="J87">
        <f t="shared" si="4"/>
        <v>8.4136045072187748</v>
      </c>
      <c r="K87">
        <v>0.28635642126552707</v>
      </c>
      <c r="L87" t="s">
        <v>31</v>
      </c>
      <c r="M87" t="s">
        <v>31</v>
      </c>
      <c r="N87" t="s">
        <v>31</v>
      </c>
      <c r="P87" s="22"/>
      <c r="Q87" t="s">
        <v>202</v>
      </c>
      <c r="S87" s="22">
        <v>4507.9803093654627</v>
      </c>
    </row>
    <row r="88" spans="1:24">
      <c r="A88" s="22" t="s">
        <v>77</v>
      </c>
      <c r="B88" s="220">
        <f>W88</f>
        <v>426.08217432958588</v>
      </c>
      <c r="C88" s="248"/>
      <c r="D88" s="22" t="s">
        <v>42</v>
      </c>
      <c r="E88" s="22" t="s">
        <v>40</v>
      </c>
      <c r="F88" s="22" t="s">
        <v>29</v>
      </c>
      <c r="G88" s="22" t="s">
        <v>217</v>
      </c>
      <c r="H88" s="22" t="s">
        <v>33</v>
      </c>
      <c r="I88">
        <v>2</v>
      </c>
      <c r="J88">
        <f t="shared" si="4"/>
        <v>6.0546322251543332</v>
      </c>
      <c r="K88">
        <v>0.28635642126552707</v>
      </c>
      <c r="L88" t="s">
        <v>31</v>
      </c>
      <c r="M88" t="s">
        <v>31</v>
      </c>
      <c r="N88" t="s">
        <v>31</v>
      </c>
      <c r="P88" s="22"/>
      <c r="Q88" t="s">
        <v>202</v>
      </c>
      <c r="R88" s="22"/>
      <c r="S88" s="209">
        <v>4533.0445366613785</v>
      </c>
      <c r="T88" s="22" t="s">
        <v>216</v>
      </c>
      <c r="U88" s="22">
        <f>S88/0.277778</f>
        <v>16318.947276823139</v>
      </c>
      <c r="V88" s="22" t="s">
        <v>218</v>
      </c>
      <c r="W88" s="22">
        <f>U88/38.3</f>
        <v>426.08217432958588</v>
      </c>
      <c r="X88" s="22" t="s">
        <v>219</v>
      </c>
    </row>
    <row r="89" spans="1:24">
      <c r="A89" s="42" t="s">
        <v>220</v>
      </c>
      <c r="B89" s="221">
        <f>U89</f>
        <v>2036.6458686714504</v>
      </c>
      <c r="C89" s="248"/>
      <c r="D89" s="22" t="s">
        <v>170</v>
      </c>
      <c r="E89" s="22" t="s">
        <v>40</v>
      </c>
      <c r="F89" s="22" t="s">
        <v>29</v>
      </c>
      <c r="G89" s="22" t="s">
        <v>58</v>
      </c>
      <c r="H89" s="22" t="s">
        <v>33</v>
      </c>
      <c r="I89">
        <v>2</v>
      </c>
      <c r="J89">
        <f t="shared" si="4"/>
        <v>7.6190595516637787</v>
      </c>
      <c r="K89">
        <v>0.28635642126552707</v>
      </c>
      <c r="L89" t="s">
        <v>31</v>
      </c>
      <c r="M89" t="s">
        <v>31</v>
      </c>
      <c r="N89" t="s">
        <v>31</v>
      </c>
      <c r="P89" s="22"/>
      <c r="Q89" t="s">
        <v>202</v>
      </c>
      <c r="R89" s="42"/>
      <c r="S89" s="209">
        <v>565.7354161078182</v>
      </c>
      <c r="T89" s="22" t="s">
        <v>216</v>
      </c>
      <c r="U89" s="22">
        <f>S89/0.277778</f>
        <v>2036.6458686714504</v>
      </c>
      <c r="V89" s="22" t="s">
        <v>218</v>
      </c>
    </row>
    <row r="90" spans="1:24">
      <c r="A90" s="42" t="s">
        <v>71</v>
      </c>
      <c r="B90" s="220">
        <f>W90</f>
        <v>96.388501074386269</v>
      </c>
      <c r="C90" s="235"/>
      <c r="D90" s="22" t="s">
        <v>37</v>
      </c>
      <c r="E90" s="22" t="s">
        <v>40</v>
      </c>
      <c r="F90" s="22" t="s">
        <v>29</v>
      </c>
      <c r="G90" s="22" t="s">
        <v>58</v>
      </c>
      <c r="H90" s="22" t="s">
        <v>33</v>
      </c>
      <c r="I90">
        <v>2</v>
      </c>
      <c r="J90">
        <f t="shared" si="4"/>
        <v>4.568386911040939</v>
      </c>
      <c r="K90">
        <v>0.28635642126552707</v>
      </c>
      <c r="L90" t="s">
        <v>31</v>
      </c>
      <c r="M90" t="s">
        <v>31</v>
      </c>
      <c r="N90" t="s">
        <v>31</v>
      </c>
      <c r="P90" s="22"/>
      <c r="Q90" t="s">
        <v>202</v>
      </c>
      <c r="R90" s="42"/>
      <c r="S90" s="209">
        <v>1199.502306304551</v>
      </c>
      <c r="T90" s="22" t="s">
        <v>216</v>
      </c>
      <c r="U90" s="22">
        <f>S90/0.277778</f>
        <v>4318.2048481325046</v>
      </c>
      <c r="V90" s="22" t="s">
        <v>218</v>
      </c>
      <c r="W90" s="22">
        <f>U90/44.8</f>
        <v>96.388501074386269</v>
      </c>
      <c r="X90" s="22" t="s">
        <v>221</v>
      </c>
    </row>
    <row r="91" spans="1:24">
      <c r="A91" s="42" t="s">
        <v>222</v>
      </c>
      <c r="B91" s="220">
        <f t="shared" ref="B91" si="5">W91</f>
        <v>190.28336928515657</v>
      </c>
      <c r="C91" s="235"/>
      <c r="D91" s="22" t="s">
        <v>37</v>
      </c>
      <c r="E91" s="22" t="s">
        <v>40</v>
      </c>
      <c r="F91" s="22" t="s">
        <v>29</v>
      </c>
      <c r="G91" s="22" t="s">
        <v>128</v>
      </c>
      <c r="H91" s="22" t="s">
        <v>33</v>
      </c>
      <c r="I91">
        <v>2</v>
      </c>
      <c r="J91">
        <f t="shared" si="4"/>
        <v>5.2485143783925805</v>
      </c>
      <c r="K91">
        <v>0.28635642126552707</v>
      </c>
      <c r="L91" t="s">
        <v>31</v>
      </c>
      <c r="M91" t="s">
        <v>31</v>
      </c>
      <c r="N91" t="s">
        <v>31</v>
      </c>
      <c r="P91" s="22"/>
      <c r="Q91" t="s">
        <v>202</v>
      </c>
      <c r="R91" s="42"/>
      <c r="S91" s="209">
        <v>2441.971859402101</v>
      </c>
      <c r="T91" s="22" t="s">
        <v>216</v>
      </c>
      <c r="U91" s="22">
        <f>S91/0.277778</f>
        <v>8791.0916609742344</v>
      </c>
      <c r="V91" s="22" t="s">
        <v>218</v>
      </c>
      <c r="W91" s="22">
        <f>U91/46.2</f>
        <v>190.28336928515657</v>
      </c>
      <c r="X91" s="22" t="s">
        <v>221</v>
      </c>
    </row>
    <row r="92" spans="1:24" s="129" customFormat="1">
      <c r="A92" s="22" t="s">
        <v>223</v>
      </c>
      <c r="B92" s="220">
        <f>W92</f>
        <v>1.1718330659789702</v>
      </c>
      <c r="C92" s="209"/>
      <c r="D92" s="22" t="s">
        <v>37</v>
      </c>
      <c r="E92" s="22" t="s">
        <v>2</v>
      </c>
      <c r="F92" s="22" t="s">
        <v>224</v>
      </c>
      <c r="G92" s="22" t="s">
        <v>58</v>
      </c>
      <c r="H92" s="22" t="s">
        <v>33</v>
      </c>
      <c r="I92" s="22">
        <v>2</v>
      </c>
      <c r="J92" s="22">
        <f t="shared" si="4"/>
        <v>0.15856924583844134</v>
      </c>
      <c r="K92" s="22">
        <v>0.28635642126552707</v>
      </c>
      <c r="L92" s="22" t="s">
        <v>31</v>
      </c>
      <c r="M92" s="22" t="s">
        <v>31</v>
      </c>
      <c r="N92" s="22" t="s">
        <v>31</v>
      </c>
      <c r="P92" s="22"/>
      <c r="Q92" t="s">
        <v>202</v>
      </c>
      <c r="R92" s="222"/>
      <c r="S92" s="209">
        <v>14.322415597666284</v>
      </c>
      <c r="T92" s="22" t="s">
        <v>216</v>
      </c>
      <c r="U92" s="22">
        <f>S92/0.277778</f>
        <v>51.560654903074692</v>
      </c>
      <c r="V92" s="22" t="s">
        <v>218</v>
      </c>
      <c r="W92" s="22">
        <f>U92/44</f>
        <v>1.1718330659789702</v>
      </c>
      <c r="X92" s="22" t="s">
        <v>221</v>
      </c>
    </row>
    <row r="93" spans="1:24">
      <c r="A93" t="s">
        <v>79</v>
      </c>
      <c r="B93" s="219">
        <f>11.0232113587049*997.42788</f>
        <v>10994.858336304947</v>
      </c>
      <c r="C93" s="219"/>
      <c r="D93" t="s">
        <v>37</v>
      </c>
      <c r="E93" t="s">
        <v>40</v>
      </c>
      <c r="F93" t="s">
        <v>29</v>
      </c>
      <c r="G93" t="s">
        <v>58</v>
      </c>
      <c r="H93" t="s">
        <v>33</v>
      </c>
      <c r="I93">
        <v>2</v>
      </c>
      <c r="J93">
        <f t="shared" si="4"/>
        <v>9.3051830185315918</v>
      </c>
      <c r="K93">
        <v>0.28635642126552707</v>
      </c>
      <c r="L93" t="s">
        <v>31</v>
      </c>
      <c r="M93" t="s">
        <v>31</v>
      </c>
      <c r="N93" t="s">
        <v>31</v>
      </c>
      <c r="O93" t="s">
        <v>225</v>
      </c>
      <c r="P93" s="22"/>
      <c r="Q93" t="s">
        <v>202</v>
      </c>
    </row>
    <row r="94" spans="1:24">
      <c r="A94" s="104" t="s">
        <v>226</v>
      </c>
      <c r="B94" s="219">
        <v>10.279011483042321</v>
      </c>
      <c r="C94" s="219"/>
      <c r="D94" s="22" t="s">
        <v>42</v>
      </c>
      <c r="E94" s="22" t="s">
        <v>40</v>
      </c>
      <c r="F94" s="22" t="s">
        <v>29</v>
      </c>
      <c r="G94" s="60" t="s">
        <v>128</v>
      </c>
      <c r="H94" s="22" t="s">
        <v>33</v>
      </c>
      <c r="I94">
        <v>2</v>
      </c>
      <c r="J94">
        <f t="shared" si="4"/>
        <v>2.3301040961662949</v>
      </c>
      <c r="K94">
        <v>0.28635642126552707</v>
      </c>
      <c r="L94" t="s">
        <v>31</v>
      </c>
      <c r="M94" t="s">
        <v>31</v>
      </c>
      <c r="N94" t="s">
        <v>31</v>
      </c>
      <c r="P94" s="22"/>
      <c r="Q94" t="s">
        <v>202</v>
      </c>
    </row>
    <row r="95" spans="1:24">
      <c r="A95" t="s">
        <v>227</v>
      </c>
      <c r="B95" s="219">
        <v>249.42486763335833</v>
      </c>
      <c r="C95" s="219"/>
      <c r="D95" t="s">
        <v>37</v>
      </c>
      <c r="E95" t="s">
        <v>40</v>
      </c>
      <c r="F95" t="s">
        <v>29</v>
      </c>
      <c r="G95" t="s">
        <v>128</v>
      </c>
      <c r="H95" t="s">
        <v>33</v>
      </c>
      <c r="I95">
        <v>2</v>
      </c>
      <c r="J95">
        <f t="shared" si="4"/>
        <v>5.5191577381122832</v>
      </c>
      <c r="K95">
        <v>0.28635642126552702</v>
      </c>
      <c r="L95" t="s">
        <v>31</v>
      </c>
      <c r="M95" t="s">
        <v>31</v>
      </c>
      <c r="N95" t="s">
        <v>31</v>
      </c>
      <c r="P95" s="22"/>
      <c r="Q95" t="s">
        <v>202</v>
      </c>
    </row>
    <row r="96" spans="1:24">
      <c r="A96" t="s">
        <v>229</v>
      </c>
      <c r="B96" s="219">
        <v>4686.0401606795494</v>
      </c>
      <c r="C96" s="219"/>
      <c r="D96" t="s">
        <v>37</v>
      </c>
      <c r="E96" t="s">
        <v>43</v>
      </c>
      <c r="F96" t="s">
        <v>44</v>
      </c>
      <c r="G96" t="s">
        <v>29</v>
      </c>
      <c r="H96" t="s">
        <v>45</v>
      </c>
      <c r="I96">
        <v>2</v>
      </c>
      <c r="J96">
        <f t="shared" si="4"/>
        <v>8.4523431893851662</v>
      </c>
      <c r="K96">
        <v>0.28635642126552702</v>
      </c>
      <c r="L96" t="s">
        <v>31</v>
      </c>
      <c r="M96" t="s">
        <v>31</v>
      </c>
      <c r="N96" t="s">
        <v>31</v>
      </c>
      <c r="P96" s="22"/>
      <c r="Q96" t="s">
        <v>202</v>
      </c>
    </row>
    <row r="97" spans="1:24">
      <c r="A97" t="s">
        <v>230</v>
      </c>
      <c r="B97" s="219">
        <v>5.0128454591831989E-2</v>
      </c>
      <c r="C97" s="219"/>
      <c r="D97" t="s">
        <v>37</v>
      </c>
      <c r="E97" t="s">
        <v>43</v>
      </c>
      <c r="F97" t="s">
        <v>44</v>
      </c>
      <c r="G97" t="s">
        <v>29</v>
      </c>
      <c r="H97" t="s">
        <v>45</v>
      </c>
      <c r="I97">
        <v>2</v>
      </c>
      <c r="J97">
        <f t="shared" si="4"/>
        <v>-2.9931664761924508</v>
      </c>
      <c r="K97">
        <v>0.28635642126552702</v>
      </c>
      <c r="L97" t="s">
        <v>31</v>
      </c>
      <c r="M97" t="s">
        <v>31</v>
      </c>
      <c r="N97" t="s">
        <v>31</v>
      </c>
      <c r="P97" s="22"/>
      <c r="Q97" t="s">
        <v>202</v>
      </c>
    </row>
    <row r="98" spans="1:24">
      <c r="A98" t="s">
        <v>231</v>
      </c>
      <c r="B98">
        <v>0.7948940656704786</v>
      </c>
      <c r="D98" t="s">
        <v>37</v>
      </c>
      <c r="E98" t="s">
        <v>43</v>
      </c>
      <c r="F98" t="s">
        <v>44</v>
      </c>
      <c r="G98" t="s">
        <v>29</v>
      </c>
      <c r="H98" t="s">
        <v>45</v>
      </c>
      <c r="I98">
        <v>2</v>
      </c>
      <c r="J98">
        <f t="shared" si="4"/>
        <v>-0.22954642393543001</v>
      </c>
      <c r="K98">
        <v>0.28635642126552702</v>
      </c>
      <c r="L98" t="s">
        <v>31</v>
      </c>
      <c r="M98" t="s">
        <v>31</v>
      </c>
      <c r="N98" t="s">
        <v>31</v>
      </c>
      <c r="P98" s="22"/>
      <c r="Q98" t="s">
        <v>202</v>
      </c>
    </row>
    <row r="99" spans="1:24">
      <c r="A99" t="s">
        <v>232</v>
      </c>
      <c r="B99">
        <v>3.7632146982868155</v>
      </c>
      <c r="D99" t="s">
        <v>37</v>
      </c>
      <c r="E99" t="s">
        <v>43</v>
      </c>
      <c r="F99" t="s">
        <v>44</v>
      </c>
      <c r="G99" t="s">
        <v>29</v>
      </c>
      <c r="H99" t="s">
        <v>45</v>
      </c>
      <c r="I99">
        <v>2</v>
      </c>
      <c r="J99">
        <f t="shared" si="4"/>
        <v>1.3252735650692418</v>
      </c>
      <c r="K99">
        <v>0.28635642126552702</v>
      </c>
      <c r="L99" t="s">
        <v>31</v>
      </c>
      <c r="M99" t="s">
        <v>31</v>
      </c>
      <c r="N99" t="s">
        <v>31</v>
      </c>
      <c r="P99" s="22"/>
      <c r="Q99" t="s">
        <v>202</v>
      </c>
    </row>
    <row r="100" spans="1:24" s="41" customFormat="1">
      <c r="A100" s="206" t="s">
        <v>5</v>
      </c>
      <c r="B100" s="206" t="s">
        <v>210</v>
      </c>
      <c r="C100" s="206"/>
      <c r="D100" s="39"/>
      <c r="Q100" s="41" t="s">
        <v>202</v>
      </c>
      <c r="S100" s="207"/>
      <c r="T100" s="207"/>
      <c r="U100" s="207"/>
      <c r="V100" s="207"/>
      <c r="W100" s="207"/>
      <c r="X100" s="207"/>
    </row>
    <row r="101" spans="1:24">
      <c r="A101" t="s">
        <v>7</v>
      </c>
      <c r="B101" t="s">
        <v>203</v>
      </c>
      <c r="Q101" t="s">
        <v>202</v>
      </c>
    </row>
    <row r="102" spans="1:24">
      <c r="A102" t="s">
        <v>9</v>
      </c>
      <c r="B102" s="208" t="s">
        <v>263</v>
      </c>
      <c r="C102" s="22"/>
      <c r="Q102" t="s">
        <v>202</v>
      </c>
    </row>
    <row r="103" spans="1:24">
      <c r="A103" t="s">
        <v>11</v>
      </c>
      <c r="B103" t="s">
        <v>264</v>
      </c>
      <c r="Q103" t="s">
        <v>202</v>
      </c>
    </row>
    <row r="104" spans="1:24">
      <c r="A104" t="s">
        <v>13</v>
      </c>
      <c r="B104" t="s">
        <v>14</v>
      </c>
      <c r="Q104" t="s">
        <v>202</v>
      </c>
    </row>
    <row r="105" spans="1:24">
      <c r="A105" t="s">
        <v>15</v>
      </c>
      <c r="B105">
        <v>1</v>
      </c>
      <c r="Q105" t="s">
        <v>202</v>
      </c>
    </row>
    <row r="106" spans="1:24">
      <c r="A106" t="s">
        <v>16</v>
      </c>
      <c r="B106" t="s">
        <v>17</v>
      </c>
      <c r="Q106" t="s">
        <v>202</v>
      </c>
    </row>
    <row r="107" spans="1:24">
      <c r="A107" t="s">
        <v>18</v>
      </c>
      <c r="B107" t="s">
        <v>18</v>
      </c>
      <c r="E107" t="s">
        <v>197</v>
      </c>
      <c r="Q107" t="s">
        <v>202</v>
      </c>
    </row>
    <row r="108" spans="1:24">
      <c r="A108" s="159" t="s">
        <v>19</v>
      </c>
      <c r="Q108" t="s">
        <v>202</v>
      </c>
    </row>
    <row r="109" spans="1:24">
      <c r="A109" s="159" t="s">
        <v>20</v>
      </c>
      <c r="B109" s="159" t="s">
        <v>21</v>
      </c>
      <c r="C109" s="159" t="s">
        <v>198</v>
      </c>
      <c r="D109" s="159" t="s">
        <v>18</v>
      </c>
      <c r="E109" s="159" t="s">
        <v>22</v>
      </c>
      <c r="F109" s="159" t="s">
        <v>7</v>
      </c>
      <c r="G109" s="159" t="s">
        <v>13</v>
      </c>
      <c r="H109" s="159" t="s">
        <v>16</v>
      </c>
      <c r="I109" s="159" t="s">
        <v>23</v>
      </c>
      <c r="J109" s="159" t="s">
        <v>24</v>
      </c>
      <c r="K109" s="159" t="s">
        <v>25</v>
      </c>
      <c r="L109" s="159" t="s">
        <v>26</v>
      </c>
      <c r="M109" s="159" t="s">
        <v>27</v>
      </c>
      <c r="N109" s="159" t="s">
        <v>28</v>
      </c>
      <c r="O109" s="159" t="s">
        <v>11</v>
      </c>
      <c r="P109" s="197" t="s">
        <v>206</v>
      </c>
      <c r="Q109" t="s">
        <v>202</v>
      </c>
    </row>
    <row r="110" spans="1:24">
      <c r="A110" t="str">
        <f>B100</f>
        <v>Production of Nacelle, EM</v>
      </c>
      <c r="B110" s="235">
        <v>1</v>
      </c>
      <c r="C110" s="235"/>
      <c r="D110" t="s">
        <v>18</v>
      </c>
      <c r="E110" t="s">
        <v>2</v>
      </c>
      <c r="F110" t="s">
        <v>29</v>
      </c>
      <c r="G110" t="s">
        <v>14</v>
      </c>
      <c r="H110" t="s">
        <v>30</v>
      </c>
      <c r="I110">
        <v>1</v>
      </c>
      <c r="J110">
        <v>1</v>
      </c>
      <c r="K110" t="s">
        <v>31</v>
      </c>
      <c r="L110" t="s">
        <v>31</v>
      </c>
      <c r="M110" t="s">
        <v>31</v>
      </c>
      <c r="N110" t="s">
        <v>31</v>
      </c>
      <c r="Q110" t="s">
        <v>202</v>
      </c>
    </row>
    <row r="111" spans="1:24">
      <c r="A111" s="226" t="s">
        <v>253</v>
      </c>
      <c r="B111" s="205">
        <f>26.6594900688416*1.5</f>
        <v>39.989235103262402</v>
      </c>
      <c r="C111" s="205"/>
      <c r="D111" s="205" t="s">
        <v>37</v>
      </c>
      <c r="E111" s="205" t="s">
        <v>40</v>
      </c>
      <c r="F111" s="205" t="s">
        <v>29</v>
      </c>
      <c r="G111" s="205" t="s">
        <v>58</v>
      </c>
      <c r="H111" s="205" t="s">
        <v>33</v>
      </c>
      <c r="I111" s="205">
        <v>2</v>
      </c>
      <c r="J111" s="205">
        <f t="shared" ref="J111:J129" si="6">LN(B111)</f>
        <v>3.6886102954755597</v>
      </c>
      <c r="K111" s="205">
        <v>0.30331501776206199</v>
      </c>
      <c r="L111" s="205" t="s">
        <v>31</v>
      </c>
      <c r="M111" s="205" t="s">
        <v>31</v>
      </c>
      <c r="N111" s="205" t="s">
        <v>31</v>
      </c>
      <c r="O111" s="205" t="s">
        <v>236</v>
      </c>
      <c r="P111" s="22" t="s">
        <v>202</v>
      </c>
      <c r="Q111" t="s">
        <v>202</v>
      </c>
    </row>
    <row r="112" spans="1:24">
      <c r="A112" s="226" t="s">
        <v>238</v>
      </c>
      <c r="B112" s="205">
        <f>17.7729933792278*7</f>
        <v>124.41095365459459</v>
      </c>
      <c r="C112" s="205"/>
      <c r="D112" s="205" t="s">
        <v>37</v>
      </c>
      <c r="E112" s="205" t="s">
        <v>40</v>
      </c>
      <c r="F112" s="205" t="s">
        <v>29</v>
      </c>
      <c r="G112" s="205" t="s">
        <v>58</v>
      </c>
      <c r="H112" s="205" t="s">
        <v>33</v>
      </c>
      <c r="I112" s="205">
        <v>2</v>
      </c>
      <c r="J112" s="205">
        <f t="shared" si="6"/>
        <v>4.823590228314548</v>
      </c>
      <c r="K112" s="205">
        <v>0.30331501776206199</v>
      </c>
      <c r="L112" s="205" t="s">
        <v>31</v>
      </c>
      <c r="M112" s="205" t="s">
        <v>31</v>
      </c>
      <c r="N112" s="205" t="s">
        <v>31</v>
      </c>
      <c r="O112" s="205" t="s">
        <v>236</v>
      </c>
      <c r="P112" s="22" t="s">
        <v>265</v>
      </c>
      <c r="Q112" t="s">
        <v>202</v>
      </c>
    </row>
    <row r="113" spans="1:24">
      <c r="A113" s="238" t="s">
        <v>257</v>
      </c>
      <c r="B113" s="249">
        <f>B111*(1-1/1.5)</f>
        <v>13.329745034420803</v>
      </c>
      <c r="C113" s="249"/>
      <c r="D113" s="240" t="s">
        <v>37</v>
      </c>
      <c r="E113" s="240" t="s">
        <v>40</v>
      </c>
      <c r="F113" s="240" t="s">
        <v>29</v>
      </c>
      <c r="G113" s="240" t="s">
        <v>128</v>
      </c>
      <c r="H113" s="240" t="s">
        <v>33</v>
      </c>
      <c r="I113" s="240">
        <v>2</v>
      </c>
      <c r="J113" s="240">
        <f t="shared" si="6"/>
        <v>2.5899980068074502</v>
      </c>
      <c r="K113" s="240">
        <v>0.30331501776206199</v>
      </c>
      <c r="L113" s="240" t="s">
        <v>31</v>
      </c>
      <c r="M113" s="240" t="s">
        <v>31</v>
      </c>
      <c r="N113" s="240" t="s">
        <v>31</v>
      </c>
      <c r="O113" s="240" t="s">
        <v>241</v>
      </c>
      <c r="P113" s="241" t="s">
        <v>258</v>
      </c>
      <c r="Q113" t="s">
        <v>202</v>
      </c>
    </row>
    <row r="114" spans="1:24">
      <c r="A114" s="227" t="s">
        <v>245</v>
      </c>
      <c r="B114" s="250">
        <f>B112*(1-1/7)</f>
        <v>106.63796027536681</v>
      </c>
      <c r="C114" s="250"/>
      <c r="D114" s="228" t="s">
        <v>37</v>
      </c>
      <c r="E114" s="228" t="s">
        <v>40</v>
      </c>
      <c r="F114" s="228" t="s">
        <v>29</v>
      </c>
      <c r="G114" s="228" t="s">
        <v>128</v>
      </c>
      <c r="H114" s="228" t="s">
        <v>33</v>
      </c>
      <c r="I114" s="228">
        <v>2</v>
      </c>
      <c r="J114" s="228">
        <f t="shared" si="6"/>
        <v>4.6694395484872899</v>
      </c>
      <c r="K114" s="228">
        <v>0.30331501776206199</v>
      </c>
      <c r="L114" s="228" t="s">
        <v>31</v>
      </c>
      <c r="M114" s="228" t="s">
        <v>31</v>
      </c>
      <c r="N114" s="228" t="s">
        <v>31</v>
      </c>
      <c r="O114" s="228" t="s">
        <v>241</v>
      </c>
      <c r="P114" s="229" t="s">
        <v>266</v>
      </c>
      <c r="Q114" t="s">
        <v>202</v>
      </c>
    </row>
    <row r="115" spans="1:24">
      <c r="A115" s="233" t="s">
        <v>247</v>
      </c>
      <c r="B115" s="251">
        <f>B112*(1-1/7)</f>
        <v>106.63796027536681</v>
      </c>
      <c r="C115" s="42" t="s">
        <v>248</v>
      </c>
      <c r="D115" s="204" t="s">
        <v>37</v>
      </c>
      <c r="E115" s="204" t="s">
        <v>40</v>
      </c>
      <c r="F115" s="204" t="s">
        <v>29</v>
      </c>
      <c r="G115" s="204" t="s">
        <v>128</v>
      </c>
      <c r="H115" s="204" t="s">
        <v>33</v>
      </c>
      <c r="I115" s="204">
        <v>2</v>
      </c>
      <c r="J115" s="204">
        <f t="shared" si="6"/>
        <v>4.6694395484872899</v>
      </c>
      <c r="K115" s="204">
        <v>0.30331501776206199</v>
      </c>
      <c r="L115" s="204" t="s">
        <v>31</v>
      </c>
      <c r="M115" s="204" t="s">
        <v>31</v>
      </c>
      <c r="N115" s="204" t="s">
        <v>31</v>
      </c>
      <c r="O115" s="204" t="s">
        <v>241</v>
      </c>
      <c r="P115" s="234" t="s">
        <v>266</v>
      </c>
      <c r="Q115" t="s">
        <v>202</v>
      </c>
    </row>
    <row r="116" spans="1:24">
      <c r="A116" s="230" t="s">
        <v>238</v>
      </c>
      <c r="B116" s="252">
        <f>B112*(1-1/7)</f>
        <v>106.63796027536681</v>
      </c>
      <c r="C116" s="252"/>
      <c r="D116" s="231" t="s">
        <v>37</v>
      </c>
      <c r="E116" s="231" t="s">
        <v>40</v>
      </c>
      <c r="F116" s="231" t="s">
        <v>29</v>
      </c>
      <c r="G116" s="231" t="s">
        <v>58</v>
      </c>
      <c r="H116" s="231" t="s">
        <v>243</v>
      </c>
      <c r="I116" s="231">
        <v>2</v>
      </c>
      <c r="J116" s="231">
        <f t="shared" si="6"/>
        <v>4.6694395484872899</v>
      </c>
      <c r="K116" s="231">
        <v>0.30331501776206199</v>
      </c>
      <c r="L116" s="231" t="s">
        <v>31</v>
      </c>
      <c r="M116" s="231" t="s">
        <v>31</v>
      </c>
      <c r="N116" s="231" t="s">
        <v>31</v>
      </c>
      <c r="O116" s="231" t="s">
        <v>241</v>
      </c>
      <c r="P116" s="232" t="s">
        <v>267</v>
      </c>
      <c r="Q116" t="s">
        <v>202</v>
      </c>
      <c r="S116" s="197" t="s">
        <v>250</v>
      </c>
    </row>
    <row r="117" spans="1:24">
      <c r="A117" t="s">
        <v>75</v>
      </c>
      <c r="B117" s="218">
        <f>S117</f>
        <v>1778.2714595862194</v>
      </c>
      <c r="C117" s="219"/>
      <c r="D117" t="s">
        <v>39</v>
      </c>
      <c r="E117" s="22" t="s">
        <v>40</v>
      </c>
      <c r="F117" s="22" t="s">
        <v>29</v>
      </c>
      <c r="G117" s="22" t="s">
        <v>58</v>
      </c>
      <c r="H117" s="22" t="s">
        <v>33</v>
      </c>
      <c r="I117">
        <v>2</v>
      </c>
      <c r="J117">
        <f t="shared" si="6"/>
        <v>7.4833970813525452</v>
      </c>
      <c r="K117">
        <v>0.28635642126552707</v>
      </c>
      <c r="L117" t="s">
        <v>31</v>
      </c>
      <c r="M117" t="s">
        <v>31</v>
      </c>
      <c r="N117" t="s">
        <v>31</v>
      </c>
      <c r="P117" s="22"/>
      <c r="Q117" t="s">
        <v>202</v>
      </c>
      <c r="S117" s="22">
        <v>1778.2714595862194</v>
      </c>
    </row>
    <row r="118" spans="1:24">
      <c r="A118" s="22" t="s">
        <v>77</v>
      </c>
      <c r="B118" s="220">
        <f>W118</f>
        <v>168.07743558121135</v>
      </c>
      <c r="C118" s="219"/>
      <c r="D118" s="22" t="s">
        <v>42</v>
      </c>
      <c r="E118" s="22" t="s">
        <v>40</v>
      </c>
      <c r="F118" s="22" t="s">
        <v>29</v>
      </c>
      <c r="G118" s="22" t="s">
        <v>217</v>
      </c>
      <c r="H118" s="22" t="s">
        <v>33</v>
      </c>
      <c r="I118">
        <v>2</v>
      </c>
      <c r="J118">
        <f t="shared" si="6"/>
        <v>5.1244247992881036</v>
      </c>
      <c r="K118">
        <v>0.28635642126552707</v>
      </c>
      <c r="L118" t="s">
        <v>31</v>
      </c>
      <c r="M118" t="s">
        <v>31</v>
      </c>
      <c r="N118" t="s">
        <v>31</v>
      </c>
      <c r="P118" s="22"/>
      <c r="Q118" t="s">
        <v>202</v>
      </c>
      <c r="R118" s="22"/>
      <c r="S118" s="209">
        <v>1788.1585924036169</v>
      </c>
      <c r="T118" s="22" t="s">
        <v>216</v>
      </c>
      <c r="U118" s="22">
        <f>S118/0.277778</f>
        <v>6437.3657827603938</v>
      </c>
      <c r="V118" s="22" t="s">
        <v>218</v>
      </c>
      <c r="W118" s="22">
        <f>U118/38.3</f>
        <v>168.07743558121135</v>
      </c>
      <c r="X118" s="22" t="s">
        <v>219</v>
      </c>
    </row>
    <row r="119" spans="1:24">
      <c r="A119" s="42" t="s">
        <v>220</v>
      </c>
      <c r="B119" s="221">
        <f>U119</f>
        <v>803.39952107120246</v>
      </c>
      <c r="C119" s="219"/>
      <c r="D119" s="22" t="s">
        <v>170</v>
      </c>
      <c r="E119" s="22" t="s">
        <v>40</v>
      </c>
      <c r="F119" s="22" t="s">
        <v>29</v>
      </c>
      <c r="G119" s="22" t="s">
        <v>58</v>
      </c>
      <c r="H119" s="22" t="s">
        <v>33</v>
      </c>
      <c r="I119">
        <v>2</v>
      </c>
      <c r="J119">
        <f t="shared" si="6"/>
        <v>6.6888521257975491</v>
      </c>
      <c r="K119">
        <v>0.28635642126552707</v>
      </c>
      <c r="L119" t="s">
        <v>31</v>
      </c>
      <c r="M119" t="s">
        <v>31</v>
      </c>
      <c r="N119" t="s">
        <v>31</v>
      </c>
      <c r="P119" s="22"/>
      <c r="Q119" t="s">
        <v>202</v>
      </c>
      <c r="R119" s="42"/>
      <c r="S119" s="209">
        <v>223.16671216411649</v>
      </c>
      <c r="T119" s="22" t="s">
        <v>216</v>
      </c>
      <c r="U119" s="22">
        <f>S119/0.277778</f>
        <v>803.39952107120246</v>
      </c>
      <c r="V119" s="22" t="s">
        <v>218</v>
      </c>
    </row>
    <row r="120" spans="1:24">
      <c r="A120" s="42" t="s">
        <v>71</v>
      </c>
      <c r="B120" s="220">
        <f>W120</f>
        <v>38.022553057025995</v>
      </c>
      <c r="C120" s="219"/>
      <c r="D120" s="22" t="s">
        <v>37</v>
      </c>
      <c r="E120" s="22" t="s">
        <v>40</v>
      </c>
      <c r="F120" s="22" t="s">
        <v>29</v>
      </c>
      <c r="G120" s="22" t="s">
        <v>58</v>
      </c>
      <c r="H120" s="22" t="s">
        <v>33</v>
      </c>
      <c r="I120">
        <v>2</v>
      </c>
      <c r="J120">
        <f t="shared" si="6"/>
        <v>3.6381794851747089</v>
      </c>
      <c r="K120">
        <v>0.28635642126552707</v>
      </c>
      <c r="L120" t="s">
        <v>31</v>
      </c>
      <c r="M120" t="s">
        <v>31</v>
      </c>
      <c r="N120" t="s">
        <v>31</v>
      </c>
      <c r="P120" s="22"/>
      <c r="Q120" t="s">
        <v>202</v>
      </c>
      <c r="R120" s="42"/>
      <c r="S120" s="209">
        <v>473.16992768974063</v>
      </c>
      <c r="T120" s="22" t="s">
        <v>216</v>
      </c>
      <c r="U120" s="22">
        <f>S120/0.277778</f>
        <v>1703.4103769547646</v>
      </c>
      <c r="V120" s="22" t="s">
        <v>218</v>
      </c>
      <c r="W120" s="22">
        <f>U120/44.8</f>
        <v>38.022553057025995</v>
      </c>
      <c r="X120" s="22" t="s">
        <v>221</v>
      </c>
    </row>
    <row r="121" spans="1:24">
      <c r="A121" s="42" t="s">
        <v>222</v>
      </c>
      <c r="B121" s="220">
        <f t="shared" ref="B121" si="7">W121</f>
        <v>75.061438074765732</v>
      </c>
      <c r="C121" s="219"/>
      <c r="D121" s="22" t="s">
        <v>37</v>
      </c>
      <c r="E121" s="22" t="s">
        <v>40</v>
      </c>
      <c r="F121" s="22" t="s">
        <v>29</v>
      </c>
      <c r="G121" s="22" t="s">
        <v>128</v>
      </c>
      <c r="H121" s="22" t="s">
        <v>33</v>
      </c>
      <c r="I121">
        <v>2</v>
      </c>
      <c r="J121">
        <f t="shared" si="6"/>
        <v>4.3183069525263509</v>
      </c>
      <c r="K121">
        <v>0.28635642126552707</v>
      </c>
      <c r="L121" t="s">
        <v>31</v>
      </c>
      <c r="M121" t="s">
        <v>31</v>
      </c>
      <c r="N121" t="s">
        <v>31</v>
      </c>
      <c r="P121" s="22"/>
      <c r="Q121" t="s">
        <v>202</v>
      </c>
      <c r="R121" s="42"/>
      <c r="S121" s="209">
        <v>963.28922592359129</v>
      </c>
      <c r="T121" s="22" t="s">
        <v>216</v>
      </c>
      <c r="U121" s="22">
        <f>S121/0.277778</f>
        <v>3467.8384390541769</v>
      </c>
      <c r="V121" s="22" t="s">
        <v>218</v>
      </c>
      <c r="W121" s="22">
        <f>U121/46.2</f>
        <v>75.061438074765732</v>
      </c>
      <c r="X121" s="22" t="s">
        <v>221</v>
      </c>
    </row>
    <row r="122" spans="1:24" s="129" customFormat="1">
      <c r="A122" s="22" t="s">
        <v>223</v>
      </c>
      <c r="B122" s="220">
        <f>W122</f>
        <v>0.46225519048975977</v>
      </c>
      <c r="C122" s="209"/>
      <c r="D122" s="22" t="s">
        <v>37</v>
      </c>
      <c r="E122" s="22" t="s">
        <v>2</v>
      </c>
      <c r="F122" s="22" t="s">
        <v>224</v>
      </c>
      <c r="G122" s="22" t="s">
        <v>58</v>
      </c>
      <c r="H122" s="22" t="s">
        <v>33</v>
      </c>
      <c r="I122" s="22">
        <v>2</v>
      </c>
      <c r="J122" s="22">
        <f t="shared" si="6"/>
        <v>-0.77163818002778839</v>
      </c>
      <c r="K122">
        <v>0.28635642126552707</v>
      </c>
      <c r="L122" s="22" t="s">
        <v>31</v>
      </c>
      <c r="M122" s="22" t="s">
        <v>31</v>
      </c>
      <c r="N122" s="22" t="s">
        <v>31</v>
      </c>
      <c r="P122" s="22"/>
      <c r="Q122" t="s">
        <v>202</v>
      </c>
      <c r="R122" s="222"/>
      <c r="S122" s="209">
        <v>5.6497901813700375</v>
      </c>
      <c r="T122" s="22" t="s">
        <v>216</v>
      </c>
      <c r="U122" s="22">
        <f>S122/0.277778</f>
        <v>20.339228381549429</v>
      </c>
      <c r="V122" s="22" t="s">
        <v>218</v>
      </c>
      <c r="W122" s="22">
        <f>U122/44</f>
        <v>0.46225519048975977</v>
      </c>
      <c r="X122" s="22" t="s">
        <v>221</v>
      </c>
    </row>
    <row r="123" spans="1:24">
      <c r="A123" t="s">
        <v>79</v>
      </c>
      <c r="B123" s="219">
        <f>4.348346888616*997.42788</f>
        <v>4337.1624186168528</v>
      </c>
      <c r="C123" s="219"/>
      <c r="D123" t="s">
        <v>37</v>
      </c>
      <c r="E123" t="s">
        <v>40</v>
      </c>
      <c r="F123" t="s">
        <v>29</v>
      </c>
      <c r="G123" t="s">
        <v>58</v>
      </c>
      <c r="H123" t="s">
        <v>33</v>
      </c>
      <c r="I123">
        <v>2</v>
      </c>
      <c r="J123">
        <f t="shared" si="6"/>
        <v>8.3749755926653595</v>
      </c>
      <c r="K123">
        <v>0.28635642126552707</v>
      </c>
      <c r="L123" t="s">
        <v>31</v>
      </c>
      <c r="M123" t="s">
        <v>31</v>
      </c>
      <c r="N123" t="s">
        <v>31</v>
      </c>
      <c r="O123" t="s">
        <v>225</v>
      </c>
      <c r="P123" s="22"/>
      <c r="Q123" t="s">
        <v>202</v>
      </c>
    </row>
    <row r="124" spans="1:24">
      <c r="A124" s="104" t="s">
        <v>226</v>
      </c>
      <c r="B124" s="219">
        <v>4.0547809658969181</v>
      </c>
      <c r="C124" s="219"/>
      <c r="D124" s="22" t="s">
        <v>42</v>
      </c>
      <c r="E124" s="22" t="s">
        <v>40</v>
      </c>
      <c r="F124" s="22" t="s">
        <v>29</v>
      </c>
      <c r="G124" s="60" t="s">
        <v>128</v>
      </c>
      <c r="H124" s="22" t="s">
        <v>33</v>
      </c>
      <c r="I124">
        <v>2</v>
      </c>
      <c r="J124">
        <f t="shared" si="6"/>
        <v>1.399896670300065</v>
      </c>
      <c r="K124">
        <v>0.28635642126552707</v>
      </c>
      <c r="L124" t="s">
        <v>31</v>
      </c>
      <c r="M124" t="s">
        <v>31</v>
      </c>
      <c r="N124" t="s">
        <v>31</v>
      </c>
      <c r="P124" s="22"/>
      <c r="Q124" t="s">
        <v>202</v>
      </c>
    </row>
    <row r="125" spans="1:24">
      <c r="A125" t="s">
        <v>227</v>
      </c>
      <c r="B125" s="219">
        <v>98.391096008559202</v>
      </c>
      <c r="C125" s="219"/>
      <c r="D125" t="s">
        <v>37</v>
      </c>
      <c r="E125" t="s">
        <v>40</v>
      </c>
      <c r="F125" t="s">
        <v>29</v>
      </c>
      <c r="G125" t="s">
        <v>128</v>
      </c>
      <c r="H125" t="s">
        <v>33</v>
      </c>
      <c r="I125">
        <v>2</v>
      </c>
      <c r="J125">
        <f t="shared" si="6"/>
        <v>4.5889503122460527</v>
      </c>
      <c r="K125">
        <v>0.28635642126552707</v>
      </c>
      <c r="L125" t="s">
        <v>31</v>
      </c>
      <c r="M125" t="s">
        <v>31</v>
      </c>
      <c r="N125" t="s">
        <v>31</v>
      </c>
      <c r="P125" s="22"/>
      <c r="Q125" t="s">
        <v>202</v>
      </c>
    </row>
    <row r="126" spans="1:24">
      <c r="A126" t="s">
        <v>229</v>
      </c>
      <c r="B126" s="219">
        <v>1848.5110635685569</v>
      </c>
      <c r="C126" s="219"/>
      <c r="D126" t="s">
        <v>37</v>
      </c>
      <c r="E126" t="s">
        <v>43</v>
      </c>
      <c r="F126" t="s">
        <v>44</v>
      </c>
      <c r="G126" t="s">
        <v>29</v>
      </c>
      <c r="H126" t="s">
        <v>45</v>
      </c>
      <c r="I126">
        <v>2</v>
      </c>
      <c r="J126">
        <f t="shared" si="6"/>
        <v>7.5221357635189365</v>
      </c>
      <c r="K126">
        <v>0.28635642126552707</v>
      </c>
      <c r="L126" t="s">
        <v>31</v>
      </c>
      <c r="M126" t="s">
        <v>31</v>
      </c>
      <c r="N126" t="s">
        <v>31</v>
      </c>
      <c r="P126" s="22"/>
      <c r="Q126" t="s">
        <v>202</v>
      </c>
    </row>
    <row r="127" spans="1:24">
      <c r="A127" t="s">
        <v>230</v>
      </c>
      <c r="B127" s="219">
        <v>1.9774265634795132E-2</v>
      </c>
      <c r="C127" s="219"/>
      <c r="D127" t="s">
        <v>37</v>
      </c>
      <c r="E127" t="s">
        <v>43</v>
      </c>
      <c r="F127" t="s">
        <v>44</v>
      </c>
      <c r="G127" t="s">
        <v>29</v>
      </c>
      <c r="H127" t="s">
        <v>45</v>
      </c>
      <c r="I127">
        <v>2</v>
      </c>
      <c r="J127">
        <f t="shared" si="6"/>
        <v>-3.9233739020586804</v>
      </c>
      <c r="K127">
        <v>0.28635642126552707</v>
      </c>
      <c r="L127" t="s">
        <v>31</v>
      </c>
      <c r="M127" t="s">
        <v>31</v>
      </c>
      <c r="N127" t="s">
        <v>31</v>
      </c>
      <c r="P127" s="22"/>
      <c r="Q127" t="s">
        <v>202</v>
      </c>
    </row>
    <row r="128" spans="1:24">
      <c r="A128" t="s">
        <v>231</v>
      </c>
      <c r="B128">
        <v>0.31356335506603705</v>
      </c>
      <c r="D128" t="s">
        <v>37</v>
      </c>
      <c r="E128" t="s">
        <v>43</v>
      </c>
      <c r="F128" t="s">
        <v>44</v>
      </c>
      <c r="G128" t="s">
        <v>29</v>
      </c>
      <c r="H128" t="s">
        <v>45</v>
      </c>
      <c r="I128">
        <v>2</v>
      </c>
      <c r="J128">
        <f t="shared" si="6"/>
        <v>-1.15975384980166</v>
      </c>
      <c r="K128">
        <v>0.28635642126552707</v>
      </c>
      <c r="L128" t="s">
        <v>31</v>
      </c>
      <c r="M128" t="s">
        <v>31</v>
      </c>
      <c r="N128" t="s">
        <v>31</v>
      </c>
      <c r="P128" s="22"/>
      <c r="Q128" t="s">
        <v>202</v>
      </c>
    </row>
    <row r="129" spans="1:17">
      <c r="A129" t="s">
        <v>232</v>
      </c>
      <c r="B129">
        <v>1.4844823701549774</v>
      </c>
      <c r="D129" t="s">
        <v>37</v>
      </c>
      <c r="E129" t="s">
        <v>43</v>
      </c>
      <c r="F129" t="s">
        <v>44</v>
      </c>
      <c r="G129" t="s">
        <v>29</v>
      </c>
      <c r="H129" t="s">
        <v>45</v>
      </c>
      <c r="I129">
        <v>2</v>
      </c>
      <c r="J129">
        <f t="shared" si="6"/>
        <v>0.39506613920301192</v>
      </c>
      <c r="K129">
        <v>0.28635642126552707</v>
      </c>
      <c r="L129" t="s">
        <v>31</v>
      </c>
      <c r="M129" t="s">
        <v>31</v>
      </c>
      <c r="N129" t="s">
        <v>31</v>
      </c>
      <c r="P129" s="22"/>
      <c r="Q129" t="s">
        <v>202</v>
      </c>
    </row>
  </sheetData>
  <pageMargins left="0.7" right="0.7" top="0.75" bottom="0.75" header="0.3" footer="0.3"/>
  <pageSetup paperSize="9" orientation="portrai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763F0-FB5A-44EE-A615-37FBB3F3F2BC}">
  <sheetPr>
    <tabColor theme="5" tint="0.79998168889431442"/>
  </sheetPr>
  <dimension ref="A1:V47"/>
  <sheetViews>
    <sheetView topLeftCell="A15" zoomScaleNormal="100" workbookViewId="0">
      <selection activeCell="B13" sqref="B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1" customFormat="1" ht="15.75">
      <c r="A2" s="99" t="s">
        <v>5</v>
      </c>
      <c r="B2" s="108" t="s">
        <v>1836</v>
      </c>
    </row>
    <row r="3" spans="1:22">
      <c r="A3" s="101" t="s">
        <v>7</v>
      </c>
      <c r="B3" t="s">
        <v>1807</v>
      </c>
      <c r="C3" s="102"/>
    </row>
    <row r="4" spans="1:22">
      <c r="A4" s="114" t="s">
        <v>9</v>
      </c>
      <c r="B4" t="s">
        <v>1848</v>
      </c>
      <c r="C4" s="102"/>
    </row>
    <row r="5" spans="1:22" ht="15.75" customHeight="1">
      <c r="A5" s="101" t="s">
        <v>11</v>
      </c>
      <c r="B5" s="103" t="s">
        <v>789</v>
      </c>
    </row>
    <row r="6" spans="1:22">
      <c r="A6" s="101" t="s">
        <v>13</v>
      </c>
      <c r="B6" t="s">
        <v>14</v>
      </c>
    </row>
    <row r="7" spans="1:22">
      <c r="A7" s="101" t="s">
        <v>15</v>
      </c>
      <c r="B7" s="116">
        <f>B12</f>
        <v>1.419</v>
      </c>
    </row>
    <row r="8" spans="1:22">
      <c r="A8" s="101" t="s">
        <v>16</v>
      </c>
      <c r="B8" t="s">
        <v>17</v>
      </c>
    </row>
    <row r="9" spans="1:22">
      <c r="A9" s="101" t="s">
        <v>18</v>
      </c>
      <c r="B9" t="s">
        <v>37</v>
      </c>
      <c r="S9" s="159" t="s">
        <v>880</v>
      </c>
    </row>
    <row r="10" spans="1:22" ht="15.75">
      <c r="A10" s="105" t="s">
        <v>19</v>
      </c>
      <c r="S10" t="s">
        <v>881</v>
      </c>
      <c r="T10">
        <v>8900</v>
      </c>
      <c r="U10" t="s">
        <v>882</v>
      </c>
    </row>
    <row r="11" spans="1:22" ht="15.75">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883</v>
      </c>
      <c r="T11">
        <f>5*10^-6</f>
        <v>4.9999999999999996E-6</v>
      </c>
      <c r="U11" t="s">
        <v>884</v>
      </c>
    </row>
    <row r="12" spans="1:22" ht="15.75">
      <c r="A12" t="s">
        <v>1836</v>
      </c>
      <c r="B12" s="160">
        <f>'A. ACDC POWER MODULE '!B18</f>
        <v>1.419</v>
      </c>
      <c r="C12" t="s">
        <v>37</v>
      </c>
      <c r="D12" s="111" t="s">
        <v>2</v>
      </c>
      <c r="E12" t="s">
        <v>29</v>
      </c>
      <c r="F12" t="s">
        <v>14</v>
      </c>
      <c r="G12" t="s">
        <v>30</v>
      </c>
      <c r="H12">
        <v>1</v>
      </c>
      <c r="I12">
        <v>1</v>
      </c>
      <c r="J12" t="s">
        <v>31</v>
      </c>
      <c r="K12" t="s">
        <v>31</v>
      </c>
      <c r="L12" t="s">
        <v>31</v>
      </c>
      <c r="M12" t="s">
        <v>31</v>
      </c>
      <c r="O12" s="129" t="s">
        <v>1233</v>
      </c>
      <c r="P12" s="161"/>
      <c r="Q12" t="s">
        <v>202</v>
      </c>
      <c r="S12" s="162" t="s">
        <v>885</v>
      </c>
      <c r="T12" s="163">
        <f>T11*T10</f>
        <v>4.4499999999999998E-2</v>
      </c>
      <c r="U12" s="164" t="s">
        <v>886</v>
      </c>
    </row>
    <row r="13" spans="1:22" ht="15.75">
      <c r="A13" t="s">
        <v>1849</v>
      </c>
      <c r="B13" s="160">
        <f>B28</f>
        <v>0.12</v>
      </c>
      <c r="C13" t="s">
        <v>113</v>
      </c>
      <c r="D13" s="111" t="s">
        <v>2</v>
      </c>
      <c r="E13" t="s">
        <v>29</v>
      </c>
      <c r="F13" t="s">
        <v>14</v>
      </c>
      <c r="G13" t="s">
        <v>33</v>
      </c>
      <c r="H13">
        <v>1</v>
      </c>
      <c r="I13" s="116">
        <f>B13</f>
        <v>0.12</v>
      </c>
      <c r="J13">
        <v>7.2284161474004766E-2</v>
      </c>
      <c r="K13" t="s">
        <v>31</v>
      </c>
      <c r="L13" t="s">
        <v>31</v>
      </c>
      <c r="M13" t="s">
        <v>31</v>
      </c>
      <c r="O13" s="119" t="s">
        <v>887</v>
      </c>
      <c r="P13" s="165">
        <f>B13*100</f>
        <v>12</v>
      </c>
    </row>
    <row r="14" spans="1:22" ht="15.75">
      <c r="A14" s="42" t="s">
        <v>1846</v>
      </c>
      <c r="B14" s="157">
        <f>U15</f>
        <v>4.1829999999999992E-2</v>
      </c>
      <c r="C14" t="s">
        <v>37</v>
      </c>
      <c r="D14" s="111" t="s">
        <v>2</v>
      </c>
      <c r="E14" t="s">
        <v>29</v>
      </c>
      <c r="F14" s="104" t="s">
        <v>14</v>
      </c>
      <c r="G14" t="s">
        <v>33</v>
      </c>
      <c r="H14">
        <v>1</v>
      </c>
      <c r="I14" s="116">
        <f>B14</f>
        <v>4.1829999999999992E-2</v>
      </c>
      <c r="J14">
        <v>7.2284161474004766E-2</v>
      </c>
      <c r="K14" t="s">
        <v>31</v>
      </c>
      <c r="L14" t="s">
        <v>31</v>
      </c>
      <c r="M14" t="s">
        <v>31</v>
      </c>
      <c r="O14" s="117"/>
      <c r="P14" s="118"/>
      <c r="S14" t="s">
        <v>548</v>
      </c>
      <c r="V14" s="150"/>
    </row>
    <row r="15" spans="1:22" ht="15.75">
      <c r="A15" s="106" t="s">
        <v>792</v>
      </c>
      <c r="B15">
        <f>Q15</f>
        <v>7.5</v>
      </c>
      <c r="C15" t="s">
        <v>37</v>
      </c>
      <c r="D15" s="17" t="s">
        <v>40</v>
      </c>
      <c r="E15" t="s">
        <v>29</v>
      </c>
      <c r="F15" s="104" t="s">
        <v>741</v>
      </c>
      <c r="G15" t="s">
        <v>33</v>
      </c>
      <c r="H15">
        <v>2</v>
      </c>
      <c r="I15">
        <f t="shared" ref="I15" si="0">LN(B15)</f>
        <v>2.0149030205422647</v>
      </c>
      <c r="J15">
        <v>7.2284161474004766E-2</v>
      </c>
      <c r="K15" t="s">
        <v>31</v>
      </c>
      <c r="L15" t="s">
        <v>31</v>
      </c>
      <c r="M15" t="s">
        <v>31</v>
      </c>
      <c r="O15" s="119" t="s">
        <v>221</v>
      </c>
      <c r="P15" s="120">
        <v>7.5</v>
      </c>
      <c r="Q15">
        <f>P15</f>
        <v>7.5</v>
      </c>
      <c r="S15" s="166">
        <v>0.94</v>
      </c>
      <c r="T15" s="167" t="s">
        <v>605</v>
      </c>
      <c r="U15" s="166">
        <f>S15*T12</f>
        <v>4.1829999999999992E-2</v>
      </c>
      <c r="V15" s="167" t="s">
        <v>221</v>
      </c>
    </row>
    <row r="16" spans="1:22" ht="15.75">
      <c r="A16" s="47" t="s">
        <v>869</v>
      </c>
      <c r="B16">
        <f>Q16</f>
        <v>3.9999999999999998E-7</v>
      </c>
      <c r="C16" t="s">
        <v>37</v>
      </c>
      <c r="D16" s="17" t="s">
        <v>40</v>
      </c>
      <c r="E16" t="s">
        <v>29</v>
      </c>
      <c r="F16" s="104" t="s">
        <v>58</v>
      </c>
      <c r="G16" t="s">
        <v>33</v>
      </c>
      <c r="H16">
        <v>2</v>
      </c>
      <c r="I16">
        <f>LN(B16)</f>
        <v>-14.73180128983843</v>
      </c>
      <c r="J16">
        <v>7.2284161474004766E-2</v>
      </c>
      <c r="K16" t="s">
        <v>31</v>
      </c>
      <c r="L16" t="s">
        <v>31</v>
      </c>
      <c r="M16" t="s">
        <v>31</v>
      </c>
      <c r="O16" s="152" t="s">
        <v>523</v>
      </c>
      <c r="P16" s="168">
        <v>0.4</v>
      </c>
      <c r="Q16">
        <f>0.000001*P16</f>
        <v>3.9999999999999998E-7</v>
      </c>
    </row>
    <row r="17" spans="1:20" ht="15.75">
      <c r="A17" s="47" t="s">
        <v>226</v>
      </c>
      <c r="B17">
        <f t="shared" ref="B17" si="1">Q17</f>
        <v>7.4999999999999997E-3</v>
      </c>
      <c r="C17" t="s">
        <v>42</v>
      </c>
      <c r="D17" s="17" t="s">
        <v>40</v>
      </c>
      <c r="E17" t="s">
        <v>29</v>
      </c>
      <c r="F17" s="104" t="s">
        <v>741</v>
      </c>
      <c r="G17" t="s">
        <v>33</v>
      </c>
      <c r="H17">
        <v>2</v>
      </c>
      <c r="I17">
        <f t="shared" ref="I17" si="2">LN(B17)</f>
        <v>-4.8928522584398726</v>
      </c>
      <c r="J17">
        <v>7.2284161474004766E-2</v>
      </c>
      <c r="K17" t="s">
        <v>31</v>
      </c>
      <c r="L17" t="s">
        <v>31</v>
      </c>
      <c r="M17" t="s">
        <v>31</v>
      </c>
      <c r="O17" s="154" t="s">
        <v>858</v>
      </c>
      <c r="P17" s="155">
        <v>7.5</v>
      </c>
      <c r="Q17">
        <f>0.001*P17</f>
        <v>7.4999999999999997E-3</v>
      </c>
    </row>
    <row r="18" spans="1:20" s="41" customFormat="1" ht="15.75">
      <c r="A18" s="99" t="s">
        <v>5</v>
      </c>
      <c r="B18" s="108" t="s">
        <v>1849</v>
      </c>
    </row>
    <row r="19" spans="1:20">
      <c r="A19" s="101" t="s">
        <v>7</v>
      </c>
      <c r="B19" t="s">
        <v>1807</v>
      </c>
      <c r="C19" s="102"/>
    </row>
    <row r="20" spans="1:20">
      <c r="A20" s="114" t="s">
        <v>9</v>
      </c>
      <c r="B20" s="22" t="s">
        <v>1850</v>
      </c>
      <c r="C20" s="102"/>
    </row>
    <row r="21" spans="1:20" ht="15.75" customHeight="1">
      <c r="A21" s="101" t="s">
        <v>11</v>
      </c>
      <c r="B21" s="103" t="s">
        <v>789</v>
      </c>
    </row>
    <row r="22" spans="1:20">
      <c r="A22" s="101" t="s">
        <v>13</v>
      </c>
      <c r="B22" t="s">
        <v>14</v>
      </c>
    </row>
    <row r="23" spans="1:20">
      <c r="A23" s="101" t="s">
        <v>15</v>
      </c>
      <c r="B23" s="116">
        <f>B28</f>
        <v>0.12</v>
      </c>
    </row>
    <row r="24" spans="1:20">
      <c r="A24" s="101" t="s">
        <v>16</v>
      </c>
      <c r="B24" t="s">
        <v>17</v>
      </c>
    </row>
    <row r="25" spans="1:20">
      <c r="A25" s="101" t="s">
        <v>18</v>
      </c>
      <c r="B25" t="s">
        <v>113</v>
      </c>
    </row>
    <row r="26" spans="1:20" ht="15.75">
      <c r="A26" s="105" t="s">
        <v>19</v>
      </c>
    </row>
    <row r="27" spans="1:20" ht="15.75">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6"/>
    </row>
    <row r="28" spans="1:20" ht="15.75">
      <c r="A28" t="s">
        <v>1849</v>
      </c>
      <c r="B28" s="116">
        <v>0.12</v>
      </c>
      <c r="C28" t="s">
        <v>113</v>
      </c>
      <c r="D28" s="111" t="s">
        <v>2</v>
      </c>
      <c r="E28" t="s">
        <v>29</v>
      </c>
      <c r="F28" t="s">
        <v>14</v>
      </c>
      <c r="G28" t="s">
        <v>30</v>
      </c>
      <c r="H28">
        <v>1</v>
      </c>
      <c r="I28" s="116">
        <f>B28</f>
        <v>0.12</v>
      </c>
      <c r="J28">
        <v>7.2284161474004766E-2</v>
      </c>
      <c r="K28" t="s">
        <v>31</v>
      </c>
      <c r="L28" t="s">
        <v>31</v>
      </c>
      <c r="M28" t="s">
        <v>31</v>
      </c>
      <c r="O28" s="119" t="s">
        <v>887</v>
      </c>
      <c r="P28" s="120">
        <f>B28*100</f>
        <v>12</v>
      </c>
    </row>
    <row r="29" spans="1:20">
      <c r="A29" t="s">
        <v>1851</v>
      </c>
      <c r="B29" s="116">
        <v>0.12</v>
      </c>
      <c r="C29" t="s">
        <v>113</v>
      </c>
      <c r="D29" s="169" t="s">
        <v>2</v>
      </c>
      <c r="E29" t="s">
        <v>29</v>
      </c>
      <c r="F29" t="s">
        <v>14</v>
      </c>
      <c r="G29" t="s">
        <v>33</v>
      </c>
      <c r="H29">
        <v>1</v>
      </c>
      <c r="I29" s="116">
        <f>B29</f>
        <v>0.12</v>
      </c>
      <c r="J29">
        <v>7.2284161474004766E-2</v>
      </c>
      <c r="K29" t="s">
        <v>31</v>
      </c>
      <c r="L29" t="s">
        <v>31</v>
      </c>
      <c r="M29" t="s">
        <v>31</v>
      </c>
    </row>
    <row r="30" spans="1:20" ht="15.75">
      <c r="A30" s="106" t="s">
        <v>38</v>
      </c>
      <c r="B30" s="113">
        <f>P30</f>
        <v>0.42</v>
      </c>
      <c r="C30" t="s">
        <v>39</v>
      </c>
      <c r="D30" s="17" t="s">
        <v>40</v>
      </c>
      <c r="E30" t="s">
        <v>29</v>
      </c>
      <c r="F30" s="104" t="s">
        <v>35</v>
      </c>
      <c r="G30" t="s">
        <v>33</v>
      </c>
      <c r="H30">
        <v>2</v>
      </c>
      <c r="I30">
        <f t="shared" ref="I30:I31" si="3">LN(B30)</f>
        <v>-0.86750056770472306</v>
      </c>
      <c r="J30">
        <v>7.2284161474004766E-2</v>
      </c>
      <c r="K30" t="s">
        <v>31</v>
      </c>
      <c r="L30" t="s">
        <v>31</v>
      </c>
      <c r="M30" t="s">
        <v>31</v>
      </c>
      <c r="O30" s="119" t="s">
        <v>216</v>
      </c>
      <c r="P30" s="120">
        <v>0.42</v>
      </c>
    </row>
    <row r="31" spans="1:20" ht="15.75">
      <c r="A31" s="47" t="s">
        <v>547</v>
      </c>
      <c r="B31">
        <f>R31</f>
        <v>0.01</v>
      </c>
      <c r="C31" s="116" t="s">
        <v>37</v>
      </c>
      <c r="D31" s="17" t="s">
        <v>40</v>
      </c>
      <c r="E31" t="s">
        <v>29</v>
      </c>
      <c r="F31" t="s">
        <v>58</v>
      </c>
      <c r="G31" t="s">
        <v>33</v>
      </c>
      <c r="H31">
        <v>2</v>
      </c>
      <c r="I31">
        <f t="shared" si="3"/>
        <v>-4.6051701859880909</v>
      </c>
      <c r="J31">
        <v>7.2284161474004766E-2</v>
      </c>
      <c r="K31" t="s">
        <v>31</v>
      </c>
      <c r="L31" t="s">
        <v>31</v>
      </c>
      <c r="M31" t="s">
        <v>31</v>
      </c>
      <c r="O31" s="119" t="s">
        <v>575</v>
      </c>
      <c r="P31" s="120">
        <v>10</v>
      </c>
      <c r="Q31" t="s">
        <v>221</v>
      </c>
      <c r="R31">
        <f>P31*0.001</f>
        <v>0.01</v>
      </c>
    </row>
    <row r="32" spans="1:20" ht="15.75">
      <c r="A32" s="61" t="s">
        <v>866</v>
      </c>
      <c r="B32">
        <f t="shared" ref="B32:B33" si="4">R32</f>
        <v>1.8000000000000002E-2</v>
      </c>
      <c r="C32" t="s">
        <v>37</v>
      </c>
      <c r="D32" s="17" t="s">
        <v>40</v>
      </c>
      <c r="E32" t="s">
        <v>29</v>
      </c>
      <c r="F32" s="104" t="s">
        <v>35</v>
      </c>
      <c r="G32" t="s">
        <v>33</v>
      </c>
      <c r="H32">
        <v>2</v>
      </c>
      <c r="I32">
        <f>LN(B32)</f>
        <v>-4.0173835210859723</v>
      </c>
      <c r="J32">
        <v>7.2284161474004766E-2</v>
      </c>
      <c r="K32" t="s">
        <v>31</v>
      </c>
      <c r="L32" t="s">
        <v>31</v>
      </c>
      <c r="M32" t="s">
        <v>31</v>
      </c>
      <c r="O32" s="119" t="s">
        <v>575</v>
      </c>
      <c r="P32" s="120">
        <v>18</v>
      </c>
      <c r="Q32" t="s">
        <v>221</v>
      </c>
      <c r="R32">
        <f>P32*0.001</f>
        <v>1.8000000000000002E-2</v>
      </c>
    </row>
    <row r="33" spans="1:20" ht="15.75">
      <c r="A33" s="106" t="s">
        <v>792</v>
      </c>
      <c r="B33">
        <f t="shared" si="4"/>
        <v>15.8</v>
      </c>
      <c r="C33" t="s">
        <v>37</v>
      </c>
      <c r="D33" s="17" t="s">
        <v>40</v>
      </c>
      <c r="E33" t="s">
        <v>29</v>
      </c>
      <c r="F33" s="104" t="s">
        <v>741</v>
      </c>
      <c r="G33" t="s">
        <v>33</v>
      </c>
      <c r="H33">
        <v>2</v>
      </c>
      <c r="I33">
        <f t="shared" ref="I33:I34" si="5">LN(B33)</f>
        <v>2.760009940032921</v>
      </c>
      <c r="J33">
        <v>7.2284161474004766E-2</v>
      </c>
      <c r="K33" t="s">
        <v>31</v>
      </c>
      <c r="L33" t="s">
        <v>31</v>
      </c>
      <c r="M33" t="s">
        <v>31</v>
      </c>
      <c r="O33" s="119" t="s">
        <v>221</v>
      </c>
      <c r="P33" s="120">
        <v>15.8</v>
      </c>
      <c r="Q33" t="s">
        <v>221</v>
      </c>
      <c r="R33">
        <f>P33</f>
        <v>15.8</v>
      </c>
    </row>
    <row r="34" spans="1:20" ht="15.75">
      <c r="A34" s="47" t="s">
        <v>226</v>
      </c>
      <c r="B34">
        <f>R34</f>
        <v>1.5800000000000002E-2</v>
      </c>
      <c r="C34" t="s">
        <v>42</v>
      </c>
      <c r="D34" s="17" t="s">
        <v>40</v>
      </c>
      <c r="E34" t="s">
        <v>29</v>
      </c>
      <c r="F34" s="104" t="s">
        <v>741</v>
      </c>
      <c r="G34" t="s">
        <v>33</v>
      </c>
      <c r="H34">
        <v>2</v>
      </c>
      <c r="I34">
        <f t="shared" si="5"/>
        <v>-4.1477453389492158</v>
      </c>
      <c r="J34">
        <v>7.2284161474004766E-2</v>
      </c>
      <c r="K34" t="s">
        <v>31</v>
      </c>
      <c r="L34" t="s">
        <v>31</v>
      </c>
      <c r="M34" t="s">
        <v>31</v>
      </c>
      <c r="O34" s="154" t="s">
        <v>858</v>
      </c>
      <c r="P34" s="155">
        <v>15.8</v>
      </c>
      <c r="Q34" t="s">
        <v>219</v>
      </c>
      <c r="R34">
        <f>0.001*P34</f>
        <v>1.5800000000000002E-2</v>
      </c>
    </row>
    <row r="35" spans="1:20" s="41" customFormat="1" ht="15.75">
      <c r="A35" s="99" t="s">
        <v>5</v>
      </c>
      <c r="B35" s="108" t="s">
        <v>1851</v>
      </c>
    </row>
    <row r="36" spans="1:20">
      <c r="A36" s="101" t="s">
        <v>7</v>
      </c>
      <c r="B36" t="s">
        <v>1807</v>
      </c>
      <c r="C36" s="102"/>
    </row>
    <row r="37" spans="1:20">
      <c r="A37" s="114" t="s">
        <v>9</v>
      </c>
      <c r="B37" s="22" t="s">
        <v>1852</v>
      </c>
      <c r="C37" s="102"/>
    </row>
    <row r="38" spans="1:20" ht="15.75" customHeight="1">
      <c r="A38" s="101" t="s">
        <v>11</v>
      </c>
      <c r="B38" s="103" t="s">
        <v>789</v>
      </c>
    </row>
    <row r="39" spans="1:20">
      <c r="A39" s="101" t="s">
        <v>13</v>
      </c>
      <c r="B39" t="s">
        <v>14</v>
      </c>
    </row>
    <row r="40" spans="1:20">
      <c r="A40" s="101" t="s">
        <v>15</v>
      </c>
      <c r="B40" s="116">
        <f>B45</f>
        <v>0.12</v>
      </c>
    </row>
    <row r="41" spans="1:20">
      <c r="A41" s="101" t="s">
        <v>16</v>
      </c>
      <c r="B41" t="s">
        <v>17</v>
      </c>
    </row>
    <row r="42" spans="1:20">
      <c r="A42" s="101" t="s">
        <v>18</v>
      </c>
      <c r="B42" t="s">
        <v>113</v>
      </c>
    </row>
    <row r="43" spans="1:20" ht="15.75">
      <c r="A43" s="105" t="s">
        <v>19</v>
      </c>
    </row>
    <row r="44" spans="1:20" ht="15.75">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6"/>
    </row>
    <row r="45" spans="1:20">
      <c r="A45" t="s">
        <v>1851</v>
      </c>
      <c r="B45" s="116">
        <f>B29</f>
        <v>0.12</v>
      </c>
      <c r="C45" t="s">
        <v>113</v>
      </c>
      <c r="D45" s="169" t="s">
        <v>2</v>
      </c>
      <c r="E45" t="s">
        <v>29</v>
      </c>
      <c r="F45" t="s">
        <v>14</v>
      </c>
      <c r="G45" t="s">
        <v>30</v>
      </c>
      <c r="H45">
        <v>1</v>
      </c>
      <c r="I45" s="116">
        <f>B45</f>
        <v>0.12</v>
      </c>
      <c r="J45" t="s">
        <v>31</v>
      </c>
      <c r="K45" t="s">
        <v>31</v>
      </c>
      <c r="L45" t="s">
        <v>31</v>
      </c>
      <c r="M45" t="s">
        <v>31</v>
      </c>
      <c r="Q45" t="s">
        <v>1238</v>
      </c>
    </row>
    <row r="46" spans="1:20">
      <c r="A46" s="47" t="s">
        <v>892</v>
      </c>
      <c r="B46" s="165">
        <v>1.74</v>
      </c>
      <c r="C46" t="s">
        <v>37</v>
      </c>
      <c r="D46" t="s">
        <v>40</v>
      </c>
      <c r="E46" t="s">
        <v>29</v>
      </c>
      <c r="F46" t="s">
        <v>128</v>
      </c>
      <c r="G46" t="s">
        <v>33</v>
      </c>
      <c r="H46">
        <v>1</v>
      </c>
      <c r="I46" s="116">
        <f t="shared" ref="I46:I47" si="6">B46</f>
        <v>1.74</v>
      </c>
      <c r="J46" t="s">
        <v>31</v>
      </c>
      <c r="K46" t="s">
        <v>31</v>
      </c>
      <c r="L46" t="s">
        <v>31</v>
      </c>
      <c r="M46" t="s">
        <v>31</v>
      </c>
    </row>
    <row r="47" spans="1:20">
      <c r="A47" s="47" t="s">
        <v>893</v>
      </c>
      <c r="B47" s="165">
        <v>1.74</v>
      </c>
      <c r="C47" t="s">
        <v>37</v>
      </c>
      <c r="D47" t="s">
        <v>40</v>
      </c>
      <c r="E47" t="s">
        <v>29</v>
      </c>
      <c r="F47" t="s">
        <v>58</v>
      </c>
      <c r="G47" t="s">
        <v>33</v>
      </c>
      <c r="H47">
        <v>1</v>
      </c>
      <c r="I47" s="116">
        <f t="shared" si="6"/>
        <v>1.74</v>
      </c>
      <c r="J47" t="s">
        <v>31</v>
      </c>
      <c r="K47" t="s">
        <v>31</v>
      </c>
      <c r="L47" t="s">
        <v>31</v>
      </c>
      <c r="M47" t="s">
        <v>31</v>
      </c>
    </row>
  </sheetData>
  <pageMargins left="0.7" right="0.7" top="0.75" bottom="0.75" header="0.3" footer="0.3"/>
  <pageSetup paperSize="9" orientation="portrai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DBC5-D21F-46D2-929D-52E7D944A154}">
  <sheetPr>
    <tabColor theme="5" tint="0.79998168889431442"/>
  </sheetPr>
  <dimension ref="A1:Y57"/>
  <sheetViews>
    <sheetView topLeftCell="A35" zoomScale="85" zoomScaleNormal="85" workbookViewId="0">
      <selection activeCell="B13" sqref="B13"/>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42"/>
      <c r="S1" s="112"/>
    </row>
    <row r="2" spans="1:21" s="41" customFormat="1" ht="15.75">
      <c r="A2" s="99" t="s">
        <v>5</v>
      </c>
      <c r="B2" s="108" t="s">
        <v>1853</v>
      </c>
      <c r="C2" s="108"/>
      <c r="R2" s="40"/>
      <c r="S2" s="170"/>
    </row>
    <row r="3" spans="1:21">
      <c r="A3" s="101" t="s">
        <v>7</v>
      </c>
      <c r="B3" t="s">
        <v>1807</v>
      </c>
      <c r="D3" s="102"/>
      <c r="R3" s="42"/>
      <c r="S3" s="112"/>
    </row>
    <row r="4" spans="1:21">
      <c r="A4" s="114" t="s">
        <v>9</v>
      </c>
      <c r="B4" t="s">
        <v>1854</v>
      </c>
      <c r="D4" s="102"/>
    </row>
    <row r="5" spans="1:21" ht="15.75" customHeight="1">
      <c r="A5" s="101" t="s">
        <v>11</v>
      </c>
      <c r="B5" s="103" t="s">
        <v>789</v>
      </c>
      <c r="C5" s="103"/>
    </row>
    <row r="6" spans="1:21">
      <c r="A6" s="101" t="s">
        <v>13</v>
      </c>
      <c r="B6" t="s">
        <v>14</v>
      </c>
    </row>
    <row r="7" spans="1:21">
      <c r="A7" s="101" t="s">
        <v>15</v>
      </c>
      <c r="B7" s="23">
        <f>B12</f>
        <v>9.4499999999999993</v>
      </c>
      <c r="C7" s="23"/>
    </row>
    <row r="8" spans="1:21">
      <c r="A8" s="101" t="s">
        <v>16</v>
      </c>
      <c r="B8" t="s">
        <v>17</v>
      </c>
    </row>
    <row r="9" spans="1:21">
      <c r="A9" s="101" t="s">
        <v>18</v>
      </c>
      <c r="B9" t="s">
        <v>37</v>
      </c>
    </row>
    <row r="10" spans="1:21" ht="15.75">
      <c r="A10" s="105" t="s">
        <v>19</v>
      </c>
    </row>
    <row r="11" spans="1:21" ht="15.75">
      <c r="A11" s="16" t="s">
        <v>20</v>
      </c>
      <c r="B11" s="16" t="s">
        <v>21</v>
      </c>
      <c r="C11" s="122" t="s">
        <v>198</v>
      </c>
      <c r="D11" s="16" t="s">
        <v>18</v>
      </c>
      <c r="E11" s="16" t="s">
        <v>22</v>
      </c>
      <c r="F11" s="16" t="s">
        <v>7</v>
      </c>
      <c r="G11" s="16" t="s">
        <v>13</v>
      </c>
      <c r="H11" s="16" t="s">
        <v>16</v>
      </c>
      <c r="I11" s="16" t="s">
        <v>23</v>
      </c>
      <c r="J11" s="16" t="s">
        <v>24</v>
      </c>
      <c r="K11" s="16" t="s">
        <v>25</v>
      </c>
      <c r="L11" s="16" t="s">
        <v>26</v>
      </c>
      <c r="M11" s="16" t="s">
        <v>27</v>
      </c>
      <c r="N11" s="16" t="s">
        <v>28</v>
      </c>
      <c r="O11" s="16" t="s">
        <v>11</v>
      </c>
      <c r="U11" s="116"/>
    </row>
    <row r="12" spans="1:21" ht="15.75">
      <c r="A12" t="s">
        <v>1853</v>
      </c>
      <c r="B12" s="23">
        <f>B43</f>
        <v>9.4499999999999993</v>
      </c>
      <c r="D12" t="s">
        <v>37</v>
      </c>
      <c r="E12" s="111" t="s">
        <v>2</v>
      </c>
      <c r="F12" t="s">
        <v>29</v>
      </c>
      <c r="G12" t="s">
        <v>14</v>
      </c>
      <c r="H12" t="s">
        <v>30</v>
      </c>
      <c r="I12">
        <v>1</v>
      </c>
      <c r="J12">
        <f>B12</f>
        <v>9.4499999999999993</v>
      </c>
      <c r="K12" t="s">
        <v>31</v>
      </c>
      <c r="L12" t="s">
        <v>31</v>
      </c>
      <c r="M12" t="s">
        <v>31</v>
      </c>
      <c r="N12" t="s">
        <v>31</v>
      </c>
      <c r="P12" s="42"/>
      <c r="Q12" s="112"/>
    </row>
    <row r="13" spans="1:21" ht="15.75">
      <c r="A13" t="s">
        <v>1855</v>
      </c>
      <c r="B13">
        <v>1</v>
      </c>
      <c r="D13" t="s">
        <v>18</v>
      </c>
      <c r="E13" s="111" t="s">
        <v>2</v>
      </c>
      <c r="F13" t="s">
        <v>29</v>
      </c>
      <c r="G13" t="s">
        <v>14</v>
      </c>
      <c r="H13" t="s">
        <v>33</v>
      </c>
      <c r="I13">
        <v>1</v>
      </c>
      <c r="J13">
        <v>1</v>
      </c>
      <c r="K13" t="s">
        <v>31</v>
      </c>
      <c r="L13" t="s">
        <v>31</v>
      </c>
      <c r="M13" t="s">
        <v>31</v>
      </c>
      <c r="N13" t="s">
        <v>31</v>
      </c>
    </row>
    <row r="14" spans="1:21" ht="15.75">
      <c r="A14" s="106" t="s">
        <v>38</v>
      </c>
      <c r="B14" s="113">
        <f>Q14</f>
        <v>0.25</v>
      </c>
      <c r="C14" s="113"/>
      <c r="D14" t="s">
        <v>39</v>
      </c>
      <c r="E14" s="17" t="s">
        <v>40</v>
      </c>
      <c r="F14" t="s">
        <v>29</v>
      </c>
      <c r="G14" s="104" t="s">
        <v>35</v>
      </c>
      <c r="H14" t="s">
        <v>33</v>
      </c>
      <c r="I14">
        <v>2</v>
      </c>
      <c r="J14">
        <f t="shared" ref="J14:J18" si="0">LN(B14)</f>
        <v>-1.3862943611198906</v>
      </c>
      <c r="K14" s="151">
        <v>9.6046863561492793E-2</v>
      </c>
      <c r="L14" t="s">
        <v>31</v>
      </c>
      <c r="M14" t="s">
        <v>31</v>
      </c>
      <c r="N14" t="s">
        <v>31</v>
      </c>
      <c r="P14" s="119" t="s">
        <v>216</v>
      </c>
      <c r="Q14" s="120">
        <v>0.25</v>
      </c>
    </row>
    <row r="15" spans="1:21" ht="15.75">
      <c r="A15" s="106" t="s">
        <v>38</v>
      </c>
      <c r="B15" s="113">
        <f>Q15</f>
        <v>0.5</v>
      </c>
      <c r="C15" s="113"/>
      <c r="D15" t="s">
        <v>39</v>
      </c>
      <c r="E15" s="17" t="s">
        <v>40</v>
      </c>
      <c r="F15" t="s">
        <v>29</v>
      </c>
      <c r="G15" s="104" t="s">
        <v>58</v>
      </c>
      <c r="H15" t="s">
        <v>33</v>
      </c>
      <c r="I15">
        <v>2</v>
      </c>
      <c r="J15">
        <f t="shared" si="0"/>
        <v>-0.69314718055994529</v>
      </c>
      <c r="K15" s="151">
        <v>9.6046863561492793E-2</v>
      </c>
      <c r="L15" t="s">
        <v>31</v>
      </c>
      <c r="M15" t="s">
        <v>31</v>
      </c>
      <c r="N15" t="s">
        <v>31</v>
      </c>
      <c r="P15" s="119" t="s">
        <v>216</v>
      </c>
      <c r="Q15" s="120">
        <v>0.5</v>
      </c>
    </row>
    <row r="16" spans="1:21" ht="15.75">
      <c r="A16" s="47" t="s">
        <v>896</v>
      </c>
      <c r="B16">
        <f>S16</f>
        <v>6.5000000000000002E-2</v>
      </c>
      <c r="D16" t="s">
        <v>37</v>
      </c>
      <c r="E16" s="17" t="s">
        <v>40</v>
      </c>
      <c r="F16" t="s">
        <v>29</v>
      </c>
      <c r="G16" t="s">
        <v>35</v>
      </c>
      <c r="H16" t="s">
        <v>33</v>
      </c>
      <c r="I16">
        <v>2</v>
      </c>
      <c r="J16">
        <f t="shared" si="0"/>
        <v>-2.7333680090865</v>
      </c>
      <c r="K16" s="151">
        <v>9.6046863561492793E-2</v>
      </c>
      <c r="L16" t="s">
        <v>31</v>
      </c>
      <c r="M16" t="s">
        <v>31</v>
      </c>
      <c r="N16" t="s">
        <v>31</v>
      </c>
      <c r="P16" s="119" t="s">
        <v>575</v>
      </c>
      <c r="Q16" s="120">
        <v>65</v>
      </c>
      <c r="R16" s="119" t="s">
        <v>221</v>
      </c>
      <c r="S16" s="120">
        <f>0.001*Q16</f>
        <v>6.5000000000000002E-2</v>
      </c>
    </row>
    <row r="17" spans="1:21" ht="15.75">
      <c r="A17" s="47" t="s">
        <v>897</v>
      </c>
      <c r="B17">
        <f>Q17</f>
        <v>1.2</v>
      </c>
      <c r="D17" t="s">
        <v>37</v>
      </c>
      <c r="E17" s="17" t="s">
        <v>40</v>
      </c>
      <c r="F17" t="s">
        <v>29</v>
      </c>
      <c r="G17" s="104" t="s">
        <v>741</v>
      </c>
      <c r="H17" t="s">
        <v>33</v>
      </c>
      <c r="I17">
        <v>2</v>
      </c>
      <c r="J17">
        <f t="shared" si="0"/>
        <v>0.18232155679395459</v>
      </c>
      <c r="K17" s="151">
        <v>9.6046863561492793E-2</v>
      </c>
      <c r="L17" t="s">
        <v>31</v>
      </c>
      <c r="M17" t="s">
        <v>31</v>
      </c>
      <c r="N17" t="s">
        <v>31</v>
      </c>
      <c r="P17" s="119" t="s">
        <v>221</v>
      </c>
      <c r="Q17" s="120">
        <v>1.2</v>
      </c>
    </row>
    <row r="18" spans="1:21" ht="15.75">
      <c r="A18" s="47" t="s">
        <v>786</v>
      </c>
      <c r="B18">
        <f>S18</f>
        <v>6.5000000000000002E-2</v>
      </c>
      <c r="D18" t="s">
        <v>37</v>
      </c>
      <c r="E18" s="17" t="s">
        <v>40</v>
      </c>
      <c r="F18" t="s">
        <v>29</v>
      </c>
      <c r="G18" s="104" t="s">
        <v>741</v>
      </c>
      <c r="H18" t="s">
        <v>33</v>
      </c>
      <c r="I18">
        <v>2</v>
      </c>
      <c r="J18">
        <f t="shared" si="0"/>
        <v>-2.7333680090865</v>
      </c>
      <c r="K18" s="151">
        <v>9.6046863561492793E-2</v>
      </c>
      <c r="L18" t="s">
        <v>31</v>
      </c>
      <c r="M18" t="s">
        <v>31</v>
      </c>
      <c r="N18" t="s">
        <v>31</v>
      </c>
      <c r="P18" s="119" t="s">
        <v>575</v>
      </c>
      <c r="Q18" s="155">
        <v>65</v>
      </c>
      <c r="R18" s="119" t="s">
        <v>221</v>
      </c>
      <c r="S18" s="120">
        <f>0.001*Q18</f>
        <v>6.5000000000000002E-2</v>
      </c>
    </row>
    <row r="19" spans="1:21" s="41" customFormat="1" ht="15.75">
      <c r="A19" s="99" t="s">
        <v>5</v>
      </c>
      <c r="B19" s="108" t="str">
        <f>A29</f>
        <v>production of machined casing, mass scaled activities, ACDC power module, battery charging, medium-term</v>
      </c>
      <c r="C19" s="108"/>
    </row>
    <row r="20" spans="1:21">
      <c r="A20" s="101" t="s">
        <v>7</v>
      </c>
      <c r="B20" t="s">
        <v>1807</v>
      </c>
      <c r="D20" s="102"/>
    </row>
    <row r="21" spans="1:21">
      <c r="A21" s="114" t="s">
        <v>9</v>
      </c>
      <c r="B21" t="s">
        <v>1856</v>
      </c>
      <c r="D21" s="102"/>
    </row>
    <row r="22" spans="1:21" ht="15.75" customHeight="1">
      <c r="A22" s="101" t="s">
        <v>11</v>
      </c>
      <c r="B22" s="103" t="s">
        <v>789</v>
      </c>
      <c r="C22" s="103"/>
    </row>
    <row r="23" spans="1:21">
      <c r="A23" s="101" t="s">
        <v>13</v>
      </c>
      <c r="B23" t="s">
        <v>14</v>
      </c>
    </row>
    <row r="24" spans="1:21">
      <c r="A24" s="101" t="s">
        <v>15</v>
      </c>
      <c r="B24" s="23">
        <v>1</v>
      </c>
      <c r="C24" s="23"/>
    </row>
    <row r="25" spans="1:21">
      <c r="A25" s="101" t="s">
        <v>16</v>
      </c>
      <c r="B25" t="s">
        <v>17</v>
      </c>
    </row>
    <row r="26" spans="1:21">
      <c r="A26" s="101" t="s">
        <v>18</v>
      </c>
      <c r="B26" t="s">
        <v>18</v>
      </c>
    </row>
    <row r="27" spans="1:21" ht="15.75">
      <c r="A27" s="105" t="s">
        <v>19</v>
      </c>
    </row>
    <row r="28" spans="1:21" ht="15.75">
      <c r="A28" s="16" t="s">
        <v>20</v>
      </c>
      <c r="B28" s="16" t="s">
        <v>21</v>
      </c>
      <c r="C28" s="122" t="s">
        <v>198</v>
      </c>
      <c r="D28" s="16" t="s">
        <v>18</v>
      </c>
      <c r="E28" s="16" t="s">
        <v>22</v>
      </c>
      <c r="F28" s="16" t="s">
        <v>7</v>
      </c>
      <c r="G28" s="16" t="s">
        <v>13</v>
      </c>
      <c r="H28" s="16" t="s">
        <v>16</v>
      </c>
      <c r="I28" s="16" t="s">
        <v>23</v>
      </c>
      <c r="J28" s="16" t="s">
        <v>24</v>
      </c>
      <c r="K28" s="16" t="s">
        <v>25</v>
      </c>
      <c r="L28" s="16" t="s">
        <v>26</v>
      </c>
      <c r="M28" s="16" t="s">
        <v>27</v>
      </c>
      <c r="N28" s="16" t="s">
        <v>28</v>
      </c>
      <c r="O28" s="16" t="s">
        <v>11</v>
      </c>
      <c r="U28" s="116"/>
    </row>
    <row r="29" spans="1:21" ht="15.75">
      <c r="A29" t="s">
        <v>1855</v>
      </c>
      <c r="B29">
        <v>1</v>
      </c>
      <c r="D29" t="s">
        <v>18</v>
      </c>
      <c r="E29" s="111" t="s">
        <v>2</v>
      </c>
      <c r="F29" t="s">
        <v>29</v>
      </c>
      <c r="G29" t="s">
        <v>14</v>
      </c>
      <c r="H29" t="s">
        <v>30</v>
      </c>
      <c r="I29">
        <v>1</v>
      </c>
      <c r="J29">
        <v>1</v>
      </c>
      <c r="K29" t="s">
        <v>31</v>
      </c>
      <c r="L29" t="s">
        <v>31</v>
      </c>
      <c r="M29" t="s">
        <v>31</v>
      </c>
      <c r="N29" t="s">
        <v>31</v>
      </c>
    </row>
    <row r="30" spans="1:21">
      <c r="A30" t="s">
        <v>1857</v>
      </c>
      <c r="B30" s="23">
        <f>Q30</f>
        <v>9</v>
      </c>
      <c r="D30" t="s">
        <v>37</v>
      </c>
      <c r="E30" s="169" t="s">
        <v>2</v>
      </c>
      <c r="F30" t="s">
        <v>29</v>
      </c>
      <c r="G30" t="s">
        <v>14</v>
      </c>
      <c r="H30" t="s">
        <v>33</v>
      </c>
      <c r="I30">
        <v>2</v>
      </c>
      <c r="J30">
        <f>LN(B30)</f>
        <v>2.1972245773362196</v>
      </c>
      <c r="K30">
        <v>0.10307764064044142</v>
      </c>
      <c r="L30" t="s">
        <v>31</v>
      </c>
      <c r="M30" t="s">
        <v>31</v>
      </c>
      <c r="N30" t="s">
        <v>31</v>
      </c>
      <c r="Q30" s="165">
        <v>9</v>
      </c>
    </row>
    <row r="31" spans="1:21" ht="15.75">
      <c r="A31" s="106" t="s">
        <v>38</v>
      </c>
      <c r="B31" s="113">
        <f>Q31</f>
        <v>0.54</v>
      </c>
      <c r="C31" s="113"/>
      <c r="D31" t="s">
        <v>39</v>
      </c>
      <c r="E31" s="17" t="s">
        <v>40</v>
      </c>
      <c r="F31" t="s">
        <v>29</v>
      </c>
      <c r="G31" s="104" t="s">
        <v>58</v>
      </c>
      <c r="H31" t="s">
        <v>33</v>
      </c>
      <c r="I31">
        <v>2</v>
      </c>
      <c r="J31">
        <f t="shared" ref="J31:J37" si="1">LN(B31)</f>
        <v>-0.61618613942381695</v>
      </c>
      <c r="K31">
        <v>9.6046863561492793E-2</v>
      </c>
      <c r="L31" t="s">
        <v>31</v>
      </c>
      <c r="M31" t="s">
        <v>31</v>
      </c>
      <c r="N31" t="s">
        <v>31</v>
      </c>
      <c r="P31" s="119" t="s">
        <v>216</v>
      </c>
      <c r="Q31" s="120">
        <v>0.54</v>
      </c>
    </row>
    <row r="32" spans="1:21" ht="15.75">
      <c r="A32" s="47" t="s">
        <v>896</v>
      </c>
      <c r="B32">
        <f>S32</f>
        <v>0.126</v>
      </c>
      <c r="D32" t="s">
        <v>37</v>
      </c>
      <c r="E32" s="17" t="s">
        <v>40</v>
      </c>
      <c r="F32" t="s">
        <v>29</v>
      </c>
      <c r="G32" t="s">
        <v>35</v>
      </c>
      <c r="H32" t="s">
        <v>33</v>
      </c>
      <c r="I32">
        <v>2</v>
      </c>
      <c r="J32">
        <f t="shared" si="1"/>
        <v>-2.0714733720306588</v>
      </c>
      <c r="K32">
        <v>9.6046863561492793E-2</v>
      </c>
      <c r="L32" t="s">
        <v>31</v>
      </c>
      <c r="M32" t="s">
        <v>31</v>
      </c>
      <c r="N32" t="s">
        <v>31</v>
      </c>
      <c r="P32" s="119" t="s">
        <v>575</v>
      </c>
      <c r="Q32" s="120">
        <v>126</v>
      </c>
      <c r="R32" s="119" t="s">
        <v>221</v>
      </c>
      <c r="S32" s="120">
        <f>0.001*Q32</f>
        <v>0.126</v>
      </c>
    </row>
    <row r="33" spans="1:21" ht="15.75">
      <c r="A33" s="47" t="s">
        <v>897</v>
      </c>
      <c r="B33">
        <f>Q33</f>
        <v>2.2999999999999998</v>
      </c>
      <c r="D33" t="s">
        <v>37</v>
      </c>
      <c r="E33" s="17" t="s">
        <v>40</v>
      </c>
      <c r="F33" t="s">
        <v>29</v>
      </c>
      <c r="G33" s="104" t="s">
        <v>741</v>
      </c>
      <c r="H33" t="s">
        <v>33</v>
      </c>
      <c r="I33">
        <v>2</v>
      </c>
      <c r="J33">
        <f t="shared" si="1"/>
        <v>0.83290912293510388</v>
      </c>
      <c r="K33">
        <v>9.6046863561492793E-2</v>
      </c>
      <c r="L33" t="s">
        <v>31</v>
      </c>
      <c r="M33" t="s">
        <v>31</v>
      </c>
      <c r="N33" t="s">
        <v>31</v>
      </c>
      <c r="P33" s="119" t="s">
        <v>221</v>
      </c>
      <c r="Q33" s="120">
        <v>2.2999999999999998</v>
      </c>
    </row>
    <row r="34" spans="1:21" ht="15.75">
      <c r="A34" s="171" t="s">
        <v>247</v>
      </c>
      <c r="B34">
        <f>S35</f>
        <v>0.47700000000000004</v>
      </c>
      <c r="C34" s="42" t="s">
        <v>248</v>
      </c>
      <c r="D34" t="s">
        <v>37</v>
      </c>
      <c r="E34" s="17" t="s">
        <v>40</v>
      </c>
      <c r="F34" t="s">
        <v>29</v>
      </c>
      <c r="G34" s="104" t="s">
        <v>35</v>
      </c>
      <c r="H34" t="s">
        <v>33</v>
      </c>
      <c r="I34">
        <v>2</v>
      </c>
      <c r="J34">
        <f t="shared" si="1"/>
        <v>-0.74023878809379573</v>
      </c>
      <c r="K34">
        <v>9.6046863561492793E-2</v>
      </c>
      <c r="L34" t="s">
        <v>31</v>
      </c>
      <c r="M34" t="s">
        <v>31</v>
      </c>
      <c r="N34" t="s">
        <v>31</v>
      </c>
      <c r="P34" s="119"/>
      <c r="Q34" s="155">
        <v>477</v>
      </c>
    </row>
    <row r="35" spans="1:21" ht="15.75">
      <c r="A35" s="42" t="s">
        <v>245</v>
      </c>
      <c r="B35">
        <f>S35</f>
        <v>0.47700000000000004</v>
      </c>
      <c r="D35" t="s">
        <v>37</v>
      </c>
      <c r="E35" s="17" t="s">
        <v>40</v>
      </c>
      <c r="F35" t="s">
        <v>29</v>
      </c>
      <c r="G35" t="s">
        <v>35</v>
      </c>
      <c r="H35" t="s">
        <v>33</v>
      </c>
      <c r="I35">
        <v>2</v>
      </c>
      <c r="J35">
        <f t="shared" si="1"/>
        <v>-0.74023878809379573</v>
      </c>
      <c r="K35">
        <v>9.6046863561492793E-2</v>
      </c>
      <c r="L35" t="s">
        <v>31</v>
      </c>
      <c r="M35" t="s">
        <v>31</v>
      </c>
      <c r="N35" t="s">
        <v>31</v>
      </c>
      <c r="P35" s="154" t="s">
        <v>575</v>
      </c>
      <c r="Q35" s="155">
        <v>477</v>
      </c>
      <c r="R35" s="119" t="s">
        <v>221</v>
      </c>
      <c r="S35" s="120">
        <f>0.001*Q35</f>
        <v>0.47700000000000004</v>
      </c>
    </row>
    <row r="36" spans="1:21" ht="15.75">
      <c r="A36" s="47" t="s">
        <v>900</v>
      </c>
      <c r="B36">
        <f>S35</f>
        <v>0.47700000000000004</v>
      </c>
      <c r="D36" t="s">
        <v>37</v>
      </c>
      <c r="E36" s="17" t="s">
        <v>40</v>
      </c>
      <c r="F36" t="s">
        <v>29</v>
      </c>
      <c r="G36" t="s">
        <v>58</v>
      </c>
      <c r="H36" t="s">
        <v>243</v>
      </c>
      <c r="I36">
        <v>2</v>
      </c>
      <c r="J36">
        <f t="shared" si="1"/>
        <v>-0.74023878809379573</v>
      </c>
      <c r="K36">
        <v>9.6046863561492793E-2</v>
      </c>
      <c r="L36" t="s">
        <v>31</v>
      </c>
      <c r="M36" t="s">
        <v>31</v>
      </c>
      <c r="N36" t="s">
        <v>31</v>
      </c>
      <c r="P36" s="154" t="s">
        <v>575</v>
      </c>
      <c r="Q36" s="155">
        <v>477</v>
      </c>
      <c r="R36" s="119" t="s">
        <v>221</v>
      </c>
      <c r="S36" s="120">
        <f>0.001*Q37</f>
        <v>0.126</v>
      </c>
    </row>
    <row r="37" spans="1:21" ht="15.75">
      <c r="A37" s="47" t="s">
        <v>786</v>
      </c>
      <c r="B37">
        <f>S37</f>
        <v>0.126</v>
      </c>
      <c r="D37" t="s">
        <v>37</v>
      </c>
      <c r="E37" s="17" t="s">
        <v>40</v>
      </c>
      <c r="F37" t="s">
        <v>29</v>
      </c>
      <c r="G37" s="104" t="s">
        <v>741</v>
      </c>
      <c r="H37" t="s">
        <v>33</v>
      </c>
      <c r="I37">
        <v>2</v>
      </c>
      <c r="J37">
        <f t="shared" si="1"/>
        <v>-2.0714733720306588</v>
      </c>
      <c r="K37">
        <v>9.6046863561492793E-2</v>
      </c>
      <c r="L37" t="s">
        <v>31</v>
      </c>
      <c r="M37" t="s">
        <v>31</v>
      </c>
      <c r="N37" t="s">
        <v>31</v>
      </c>
      <c r="P37" s="154" t="s">
        <v>575</v>
      </c>
      <c r="Q37" s="155">
        <v>126</v>
      </c>
      <c r="R37" s="119" t="s">
        <v>221</v>
      </c>
      <c r="S37" s="120">
        <f>Q37*0.001</f>
        <v>0.126</v>
      </c>
    </row>
    <row r="38" spans="1:21" s="41" customFormat="1" ht="15.75">
      <c r="A38" s="99" t="s">
        <v>5</v>
      </c>
      <c r="B38" s="108" t="s">
        <v>1857</v>
      </c>
      <c r="C38" s="108"/>
    </row>
    <row r="39" spans="1:21">
      <c r="A39" s="101" t="s">
        <v>7</v>
      </c>
      <c r="B39" t="s">
        <v>1807</v>
      </c>
      <c r="D39" s="102"/>
    </row>
    <row r="40" spans="1:21">
      <c r="A40" s="114" t="s">
        <v>9</v>
      </c>
      <c r="B40" t="s">
        <v>1858</v>
      </c>
      <c r="D40" s="102"/>
    </row>
    <row r="41" spans="1:21" ht="15.75" customHeight="1">
      <c r="A41" s="101" t="s">
        <v>11</v>
      </c>
      <c r="B41" s="103" t="s">
        <v>789</v>
      </c>
      <c r="C41" s="103"/>
    </row>
    <row r="42" spans="1:21">
      <c r="A42" s="101" t="s">
        <v>13</v>
      </c>
      <c r="B42" t="s">
        <v>14</v>
      </c>
    </row>
    <row r="43" spans="1:21">
      <c r="A43" s="101" t="s">
        <v>15</v>
      </c>
      <c r="B43" s="23">
        <f>B48</f>
        <v>9.4499999999999993</v>
      </c>
      <c r="C43" s="23"/>
    </row>
    <row r="44" spans="1:21">
      <c r="A44" s="101" t="s">
        <v>16</v>
      </c>
      <c r="B44" t="s">
        <v>17</v>
      </c>
    </row>
    <row r="45" spans="1:21">
      <c r="A45" s="101" t="s">
        <v>18</v>
      </c>
      <c r="B45" t="s">
        <v>37</v>
      </c>
    </row>
    <row r="46" spans="1:21" ht="15.75">
      <c r="A46" s="105" t="s">
        <v>19</v>
      </c>
    </row>
    <row r="47" spans="1:21" ht="15.75">
      <c r="A47" s="16" t="s">
        <v>20</v>
      </c>
      <c r="B47" s="16" t="s">
        <v>21</v>
      </c>
      <c r="C47" s="122" t="s">
        <v>198</v>
      </c>
      <c r="D47" s="16" t="s">
        <v>18</v>
      </c>
      <c r="E47" s="16" t="s">
        <v>22</v>
      </c>
      <c r="F47" s="16" t="s">
        <v>7</v>
      </c>
      <c r="G47" s="16" t="s">
        <v>13</v>
      </c>
      <c r="H47" s="16" t="s">
        <v>16</v>
      </c>
      <c r="I47" s="16" t="s">
        <v>23</v>
      </c>
      <c r="J47" s="16" t="s">
        <v>24</v>
      </c>
      <c r="K47" s="16" t="s">
        <v>25</v>
      </c>
      <c r="L47" s="16" t="s">
        <v>26</v>
      </c>
      <c r="M47" s="16" t="s">
        <v>27</v>
      </c>
      <c r="N47" s="16" t="s">
        <v>28</v>
      </c>
      <c r="O47" s="16" t="s">
        <v>11</v>
      </c>
      <c r="U47" s="116"/>
    </row>
    <row r="48" spans="1:21">
      <c r="A48" t="s">
        <v>1857</v>
      </c>
      <c r="B48">
        <f>Q48</f>
        <v>9.4499999999999993</v>
      </c>
      <c r="D48" t="s">
        <v>37</v>
      </c>
      <c r="E48" s="169" t="s">
        <v>2</v>
      </c>
      <c r="F48" t="s">
        <v>29</v>
      </c>
      <c r="G48" t="s">
        <v>14</v>
      </c>
      <c r="H48" t="s">
        <v>30</v>
      </c>
      <c r="I48">
        <v>2</v>
      </c>
      <c r="J48">
        <f>LN(B48)</f>
        <v>2.2460147415056513</v>
      </c>
      <c r="K48">
        <v>0.10307764064044142</v>
      </c>
      <c r="L48" t="s">
        <v>31</v>
      </c>
      <c r="M48" t="s">
        <v>31</v>
      </c>
      <c r="N48" t="s">
        <v>31</v>
      </c>
      <c r="Q48" s="172">
        <v>9.4499999999999993</v>
      </c>
    </row>
    <row r="49" spans="1:25" ht="15.75">
      <c r="A49" s="47" t="s">
        <v>900</v>
      </c>
      <c r="B49">
        <f>Q49</f>
        <v>10</v>
      </c>
      <c r="D49" t="s">
        <v>37</v>
      </c>
      <c r="E49" s="17" t="s">
        <v>40</v>
      </c>
      <c r="F49" t="s">
        <v>29</v>
      </c>
      <c r="G49" t="s">
        <v>58</v>
      </c>
      <c r="H49" t="s">
        <v>33</v>
      </c>
      <c r="I49">
        <v>2</v>
      </c>
      <c r="J49">
        <f t="shared" ref="J49:J57" si="2">LN(B49)</f>
        <v>2.3025850929940459</v>
      </c>
      <c r="K49">
        <v>4.9999999999998969E-3</v>
      </c>
      <c r="L49" t="s">
        <v>31</v>
      </c>
      <c r="M49" t="s">
        <v>31</v>
      </c>
      <c r="N49" t="s">
        <v>31</v>
      </c>
      <c r="P49" s="119" t="s">
        <v>221</v>
      </c>
      <c r="Q49" s="120">
        <v>10</v>
      </c>
    </row>
    <row r="50" spans="1:25" ht="15.75">
      <c r="A50" s="24" t="s">
        <v>77</v>
      </c>
      <c r="B50">
        <f>S50</f>
        <v>2.6631853785900783</v>
      </c>
      <c r="D50" t="s">
        <v>42</v>
      </c>
      <c r="E50" s="17" t="s">
        <v>40</v>
      </c>
      <c r="F50" t="s">
        <v>29</v>
      </c>
      <c r="G50" t="s">
        <v>217</v>
      </c>
      <c r="H50" t="s">
        <v>33</v>
      </c>
      <c r="I50">
        <v>2</v>
      </c>
      <c r="J50">
        <f t="shared" si="2"/>
        <v>0.97952291709767081</v>
      </c>
      <c r="K50">
        <v>4.9999999999998969E-3</v>
      </c>
      <c r="L50" t="s">
        <v>31</v>
      </c>
      <c r="M50" t="s">
        <v>31</v>
      </c>
      <c r="N50" t="s">
        <v>31</v>
      </c>
      <c r="P50" s="119" t="s">
        <v>218</v>
      </c>
      <c r="Q50" s="120">
        <v>102</v>
      </c>
      <c r="R50" t="s">
        <v>219</v>
      </c>
      <c r="S50">
        <f>Q50/38.3</f>
        <v>2.6631853785900783</v>
      </c>
      <c r="T50" s="173"/>
      <c r="U50" s="174"/>
      <c r="V50" s="174"/>
      <c r="W50" s="174"/>
      <c r="X50" s="174"/>
      <c r="Y50" s="174"/>
    </row>
    <row r="51" spans="1:25" ht="15.75">
      <c r="A51" s="106" t="s">
        <v>38</v>
      </c>
      <c r="B51" s="113">
        <f>Q51</f>
        <v>24.6</v>
      </c>
      <c r="C51" s="113"/>
      <c r="D51" t="s">
        <v>39</v>
      </c>
      <c r="E51" s="17" t="s">
        <v>40</v>
      </c>
      <c r="F51" t="s">
        <v>29</v>
      </c>
      <c r="G51" s="104" t="s">
        <v>58</v>
      </c>
      <c r="H51" t="s">
        <v>33</v>
      </c>
      <c r="I51">
        <v>2</v>
      </c>
      <c r="J51">
        <f t="shared" si="2"/>
        <v>3.202746442938317</v>
      </c>
      <c r="K51">
        <v>4.9999999999998969E-3</v>
      </c>
      <c r="L51" t="s">
        <v>31</v>
      </c>
      <c r="M51" t="s">
        <v>31</v>
      </c>
      <c r="N51" t="s">
        <v>31</v>
      </c>
      <c r="P51" s="119" t="s">
        <v>216</v>
      </c>
      <c r="Q51" s="120">
        <v>24.6</v>
      </c>
    </row>
    <row r="52" spans="1:25" ht="15.75">
      <c r="A52" s="47" t="s">
        <v>902</v>
      </c>
      <c r="B52">
        <f>S52</f>
        <v>0.19</v>
      </c>
      <c r="D52" t="s">
        <v>37</v>
      </c>
      <c r="E52" s="17" t="s">
        <v>40</v>
      </c>
      <c r="F52" t="s">
        <v>29</v>
      </c>
      <c r="G52" t="s">
        <v>35</v>
      </c>
      <c r="H52" t="s">
        <v>33</v>
      </c>
      <c r="I52">
        <v>2</v>
      </c>
      <c r="J52">
        <f t="shared" si="2"/>
        <v>-1.6607312068216509</v>
      </c>
      <c r="K52">
        <v>0.10049875621120885</v>
      </c>
      <c r="L52" t="s">
        <v>31</v>
      </c>
      <c r="M52" t="s">
        <v>31</v>
      </c>
      <c r="N52" t="s">
        <v>31</v>
      </c>
      <c r="P52" s="119" t="s">
        <v>575</v>
      </c>
      <c r="Q52" s="120">
        <v>190</v>
      </c>
      <c r="R52" s="119" t="s">
        <v>221</v>
      </c>
      <c r="S52" s="120">
        <f t="shared" ref="S52:S54" si="3">0.001*Q52</f>
        <v>0.19</v>
      </c>
    </row>
    <row r="53" spans="1:25">
      <c r="A53" s="47" t="s">
        <v>903</v>
      </c>
      <c r="B53">
        <f>S53</f>
        <v>3.8E-3</v>
      </c>
      <c r="D53" t="s">
        <v>37</v>
      </c>
      <c r="E53" t="s">
        <v>43</v>
      </c>
      <c r="F53" t="s">
        <v>44</v>
      </c>
      <c r="G53" t="s">
        <v>29</v>
      </c>
      <c r="H53" t="s">
        <v>45</v>
      </c>
      <c r="I53">
        <v>2</v>
      </c>
      <c r="J53">
        <f t="shared" si="2"/>
        <v>-5.5727542122497971</v>
      </c>
      <c r="K53">
        <v>4.9999999999998969E-3</v>
      </c>
      <c r="L53" t="s">
        <v>31</v>
      </c>
      <c r="M53" t="s">
        <v>31</v>
      </c>
      <c r="N53" t="s">
        <v>31</v>
      </c>
      <c r="P53" s="152" t="s">
        <v>575</v>
      </c>
      <c r="Q53" s="168">
        <v>3.8</v>
      </c>
      <c r="R53" s="119" t="s">
        <v>221</v>
      </c>
      <c r="S53" s="120">
        <f t="shared" si="3"/>
        <v>3.8E-3</v>
      </c>
    </row>
    <row r="54" spans="1:25" ht="15.75">
      <c r="A54" s="106" t="s">
        <v>760</v>
      </c>
      <c r="B54">
        <f>S54</f>
        <v>9.4999999999999998E-3</v>
      </c>
      <c r="D54" t="s">
        <v>37</v>
      </c>
      <c r="E54" s="17" t="s">
        <v>43</v>
      </c>
      <c r="F54" t="s">
        <v>44</v>
      </c>
      <c r="G54" s="104" t="s">
        <v>29</v>
      </c>
      <c r="H54" t="s">
        <v>45</v>
      </c>
      <c r="I54">
        <v>2</v>
      </c>
      <c r="J54">
        <f t="shared" si="2"/>
        <v>-4.656463480375642</v>
      </c>
      <c r="K54">
        <v>8.9582364335844641E-2</v>
      </c>
      <c r="L54" t="s">
        <v>31</v>
      </c>
      <c r="M54" t="s">
        <v>31</v>
      </c>
      <c r="N54" t="s">
        <v>31</v>
      </c>
      <c r="P54" s="152" t="s">
        <v>575</v>
      </c>
      <c r="Q54" s="168">
        <v>9.5</v>
      </c>
      <c r="R54" s="119" t="s">
        <v>221</v>
      </c>
      <c r="S54" s="120">
        <f t="shared" si="3"/>
        <v>9.4999999999999998E-3</v>
      </c>
    </row>
    <row r="55" spans="1:25" ht="15.75">
      <c r="A55" s="171" t="s">
        <v>247</v>
      </c>
      <c r="B55">
        <f>Q56</f>
        <v>0.56999999999999995</v>
      </c>
      <c r="C55" s="42" t="s">
        <v>248</v>
      </c>
      <c r="D55" t="s">
        <v>37</v>
      </c>
      <c r="E55" s="17" t="s">
        <v>40</v>
      </c>
      <c r="F55" t="s">
        <v>29</v>
      </c>
      <c r="G55" s="104" t="s">
        <v>35</v>
      </c>
      <c r="H55" t="s">
        <v>33</v>
      </c>
      <c r="I55">
        <v>2</v>
      </c>
      <c r="J55">
        <f t="shared" si="2"/>
        <v>-0.56211891815354131</v>
      </c>
      <c r="K55">
        <v>9.6046863561492793E-2</v>
      </c>
      <c r="L55" t="s">
        <v>31</v>
      </c>
      <c r="M55" t="s">
        <v>31</v>
      </c>
      <c r="N55" t="s">
        <v>31</v>
      </c>
      <c r="P55" s="152"/>
      <c r="Q55" s="155">
        <v>0.56999999999999995</v>
      </c>
      <c r="R55" s="117"/>
      <c r="S55" s="118"/>
    </row>
    <row r="56" spans="1:25" ht="15.75">
      <c r="A56" s="42" t="s">
        <v>245</v>
      </c>
      <c r="B56">
        <f>Q56</f>
        <v>0.56999999999999995</v>
      </c>
      <c r="D56" t="s">
        <v>37</v>
      </c>
      <c r="E56" s="17" t="s">
        <v>40</v>
      </c>
      <c r="F56" t="s">
        <v>29</v>
      </c>
      <c r="G56" t="s">
        <v>35</v>
      </c>
      <c r="H56" t="s">
        <v>33</v>
      </c>
      <c r="I56">
        <v>2</v>
      </c>
      <c r="J56">
        <f t="shared" si="2"/>
        <v>-0.56211891815354131</v>
      </c>
      <c r="K56">
        <v>4.9999999999998969E-3</v>
      </c>
      <c r="L56" t="s">
        <v>31</v>
      </c>
      <c r="M56" t="s">
        <v>31</v>
      </c>
      <c r="N56" t="s">
        <v>31</v>
      </c>
      <c r="P56" s="154" t="s">
        <v>221</v>
      </c>
      <c r="Q56" s="155">
        <v>0.56999999999999995</v>
      </c>
    </row>
    <row r="57" spans="1:25" ht="15.75">
      <c r="A57" s="47" t="s">
        <v>900</v>
      </c>
      <c r="B57">
        <f>Q56</f>
        <v>0.56999999999999995</v>
      </c>
      <c r="D57" t="s">
        <v>37</v>
      </c>
      <c r="E57" s="17" t="s">
        <v>40</v>
      </c>
      <c r="F57" t="s">
        <v>29</v>
      </c>
      <c r="G57" t="s">
        <v>58</v>
      </c>
      <c r="H57" t="s">
        <v>243</v>
      </c>
      <c r="I57">
        <v>2</v>
      </c>
      <c r="J57">
        <f t="shared" si="2"/>
        <v>-0.56211891815354131</v>
      </c>
      <c r="K57">
        <v>4.9999999999998969E-3</v>
      </c>
      <c r="L57" t="s">
        <v>31</v>
      </c>
      <c r="M57" t="s">
        <v>31</v>
      </c>
      <c r="N57" t="s">
        <v>31</v>
      </c>
      <c r="Q57" s="155">
        <v>0.56999999999999995</v>
      </c>
    </row>
  </sheetData>
  <pageMargins left="0.7" right="0.7" top="0.75" bottom="0.75" header="0.3" footer="0.3"/>
  <pageSetup paperSize="9" orientation="portrai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9D543-5EDF-466B-B4BC-A90BA21F7FDF}">
  <sheetPr>
    <tabColor theme="5" tint="0.79998168889431442"/>
  </sheetPr>
  <dimension ref="A1:U363"/>
  <sheetViews>
    <sheetView topLeftCell="A134" zoomScale="85" zoomScaleNormal="85" workbookViewId="0">
      <selection activeCell="P156" sqref="P156"/>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99" t="s">
        <v>5</v>
      </c>
      <c r="B2" s="100" t="s">
        <v>1834</v>
      </c>
      <c r="C2" s="39"/>
      <c r="D2" s="41"/>
      <c r="E2" s="41"/>
      <c r="F2" s="41"/>
      <c r="G2" s="41"/>
      <c r="H2" s="41"/>
      <c r="I2" s="41"/>
      <c r="J2" s="41"/>
      <c r="K2" s="41"/>
      <c r="L2" s="41"/>
      <c r="M2" s="41"/>
    </row>
    <row r="3" spans="1:18">
      <c r="A3" s="101" t="s">
        <v>7</v>
      </c>
      <c r="B3" t="s">
        <v>1807</v>
      </c>
      <c r="C3" s="102"/>
    </row>
    <row r="4" spans="1:18">
      <c r="A4" s="101" t="s">
        <v>9</v>
      </c>
      <c r="B4" t="s">
        <v>1859</v>
      </c>
      <c r="C4" s="102"/>
    </row>
    <row r="5" spans="1:18" ht="16.5" customHeight="1">
      <c r="A5" s="101" t="s">
        <v>11</v>
      </c>
      <c r="B5" s="103" t="s">
        <v>789</v>
      </c>
    </row>
    <row r="6" spans="1:18">
      <c r="A6" s="101" t="s">
        <v>13</v>
      </c>
      <c r="B6" t="s">
        <v>14</v>
      </c>
    </row>
    <row r="7" spans="1:18">
      <c r="A7" s="101" t="s">
        <v>15</v>
      </c>
      <c r="B7">
        <f>B12</f>
        <v>1</v>
      </c>
      <c r="O7" t="s">
        <v>1245</v>
      </c>
    </row>
    <row r="8" spans="1:18">
      <c r="A8" s="101" t="s">
        <v>16</v>
      </c>
      <c r="B8" t="s">
        <v>17</v>
      </c>
    </row>
    <row r="9" spans="1:18">
      <c r="A9" s="101" t="s">
        <v>18</v>
      </c>
      <c r="B9" t="s">
        <v>37</v>
      </c>
    </row>
    <row r="10" spans="1:18" ht="15.75">
      <c r="A10" s="105" t="s">
        <v>19</v>
      </c>
    </row>
    <row r="11" spans="1:18" ht="15.75">
      <c r="A11" s="10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75">
      <c r="A12" s="106" t="s">
        <v>1834</v>
      </c>
      <c r="B12">
        <v>1</v>
      </c>
      <c r="C12" t="s">
        <v>37</v>
      </c>
      <c r="D12" s="111" t="s">
        <v>2</v>
      </c>
      <c r="E12" t="s">
        <v>29</v>
      </c>
      <c r="F12" s="104" t="s">
        <v>14</v>
      </c>
      <c r="G12" t="s">
        <v>30</v>
      </c>
      <c r="H12">
        <v>1</v>
      </c>
      <c r="I12">
        <v>2.8722813232690055E-2</v>
      </c>
      <c r="J12" t="s">
        <v>31</v>
      </c>
      <c r="K12" t="s">
        <v>31</v>
      </c>
      <c r="L12" t="s">
        <v>31</v>
      </c>
      <c r="M12" t="s">
        <v>31</v>
      </c>
    </row>
    <row r="13" spans="1:18" ht="15.75">
      <c r="A13" t="s">
        <v>1860</v>
      </c>
      <c r="B13">
        <v>1</v>
      </c>
      <c r="C13" t="s">
        <v>18</v>
      </c>
      <c r="D13" s="111" t="s">
        <v>2</v>
      </c>
      <c r="E13" t="s">
        <v>29</v>
      </c>
      <c r="F13" s="104" t="s">
        <v>14</v>
      </c>
      <c r="G13" t="s">
        <v>33</v>
      </c>
      <c r="H13">
        <v>1</v>
      </c>
      <c r="I13">
        <v>1</v>
      </c>
      <c r="J13" t="s">
        <v>31</v>
      </c>
      <c r="K13" t="s">
        <v>31</v>
      </c>
      <c r="L13" t="s">
        <v>31</v>
      </c>
      <c r="M13" t="s">
        <v>31</v>
      </c>
    </row>
    <row r="14" spans="1:18" ht="15.75">
      <c r="A14" t="s">
        <v>1861</v>
      </c>
      <c r="B14">
        <v>1</v>
      </c>
      <c r="C14" t="s">
        <v>18</v>
      </c>
      <c r="D14" s="111" t="s">
        <v>2</v>
      </c>
      <c r="E14" t="s">
        <v>29</v>
      </c>
      <c r="F14" s="104" t="s">
        <v>14</v>
      </c>
      <c r="G14" t="s">
        <v>33</v>
      </c>
      <c r="H14">
        <v>1</v>
      </c>
      <c r="I14">
        <v>1</v>
      </c>
      <c r="J14" t="s">
        <v>31</v>
      </c>
      <c r="K14" t="s">
        <v>31</v>
      </c>
      <c r="L14" t="s">
        <v>31</v>
      </c>
      <c r="M14" t="s">
        <v>31</v>
      </c>
    </row>
    <row r="15" spans="1:18" ht="15.75">
      <c r="A15" s="47" t="s">
        <v>601</v>
      </c>
      <c r="B15" s="132">
        <f>R15</f>
        <v>3.5E-4</v>
      </c>
      <c r="C15" t="s">
        <v>37</v>
      </c>
      <c r="D15" s="17" t="s">
        <v>40</v>
      </c>
      <c r="E15" t="s">
        <v>29</v>
      </c>
      <c r="F15" s="104" t="s">
        <v>35</v>
      </c>
      <c r="G15" t="s">
        <v>33</v>
      </c>
      <c r="H15">
        <v>2</v>
      </c>
      <c r="I15">
        <f>LN(B15)</f>
        <v>-7.9575774034808147</v>
      </c>
      <c r="J15">
        <v>2.8722813232690055E-2</v>
      </c>
      <c r="K15" t="s">
        <v>31</v>
      </c>
      <c r="L15" t="s">
        <v>31</v>
      </c>
      <c r="M15" t="s">
        <v>31</v>
      </c>
      <c r="O15" s="123" t="s">
        <v>575</v>
      </c>
      <c r="P15" s="175">
        <v>0.35</v>
      </c>
      <c r="Q15" t="s">
        <v>221</v>
      </c>
      <c r="R15" s="132">
        <f>P15*0.001</f>
        <v>3.5E-4</v>
      </c>
    </row>
    <row r="16" spans="1:18" ht="15.75">
      <c r="A16" s="99" t="s">
        <v>5</v>
      </c>
      <c r="B16" s="100" t="s">
        <v>1861</v>
      </c>
      <c r="C16" s="39"/>
      <c r="D16" s="41"/>
      <c r="E16" s="41"/>
      <c r="F16" s="41"/>
      <c r="G16" s="41"/>
      <c r="H16" s="41"/>
      <c r="I16" s="41"/>
      <c r="J16" s="41"/>
      <c r="K16" s="41"/>
      <c r="L16" s="41"/>
      <c r="M16" s="41"/>
    </row>
    <row r="17" spans="1:18">
      <c r="A17" s="101" t="s">
        <v>7</v>
      </c>
      <c r="B17" t="s">
        <v>1807</v>
      </c>
      <c r="C17" s="102"/>
    </row>
    <row r="18" spans="1:18">
      <c r="A18" s="101" t="s">
        <v>9</v>
      </c>
      <c r="B18" t="s">
        <v>1862</v>
      </c>
      <c r="C18" s="102"/>
    </row>
    <row r="19" spans="1:18" ht="16.5" customHeight="1">
      <c r="A19" s="101" t="s">
        <v>11</v>
      </c>
      <c r="B19" s="103" t="s">
        <v>789</v>
      </c>
    </row>
    <row r="20" spans="1:18">
      <c r="A20" s="101" t="s">
        <v>13</v>
      </c>
      <c r="B20" t="s">
        <v>14</v>
      </c>
    </row>
    <row r="21" spans="1:18">
      <c r="A21" s="101" t="s">
        <v>15</v>
      </c>
      <c r="B21">
        <v>1</v>
      </c>
    </row>
    <row r="22" spans="1:18">
      <c r="A22" s="101" t="s">
        <v>16</v>
      </c>
      <c r="B22" t="s">
        <v>17</v>
      </c>
    </row>
    <row r="23" spans="1:18">
      <c r="A23" s="101" t="s">
        <v>18</v>
      </c>
      <c r="B23" t="s">
        <v>18</v>
      </c>
    </row>
    <row r="24" spans="1:18" ht="15.75">
      <c r="A24" s="105" t="s">
        <v>19</v>
      </c>
    </row>
    <row r="25" spans="1:18" ht="15.75">
      <c r="A25" s="105"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75">
      <c r="A26" t="s">
        <v>1861</v>
      </c>
      <c r="B26">
        <v>1</v>
      </c>
      <c r="C26" t="s">
        <v>18</v>
      </c>
      <c r="D26" s="111" t="s">
        <v>2</v>
      </c>
      <c r="E26" t="s">
        <v>29</v>
      </c>
      <c r="F26" s="104" t="s">
        <v>14</v>
      </c>
      <c r="G26" t="s">
        <v>30</v>
      </c>
      <c r="H26">
        <v>1</v>
      </c>
      <c r="I26">
        <v>1</v>
      </c>
      <c r="J26" t="s">
        <v>31</v>
      </c>
      <c r="K26" t="s">
        <v>31</v>
      </c>
      <c r="L26" t="s">
        <v>31</v>
      </c>
      <c r="M26" t="s">
        <v>31</v>
      </c>
    </row>
    <row r="27" spans="1:18" ht="15.75">
      <c r="A27" s="47" t="s">
        <v>610</v>
      </c>
      <c r="B27">
        <f>P27</f>
        <v>0.68</v>
      </c>
      <c r="C27" t="s">
        <v>37</v>
      </c>
      <c r="D27" s="17" t="s">
        <v>40</v>
      </c>
      <c r="E27" t="s">
        <v>29</v>
      </c>
      <c r="F27" t="s">
        <v>58</v>
      </c>
      <c r="G27" t="s">
        <v>33</v>
      </c>
      <c r="H27">
        <v>1</v>
      </c>
      <c r="I27">
        <f>B27</f>
        <v>0.68</v>
      </c>
      <c r="J27" t="s">
        <v>31</v>
      </c>
      <c r="K27" t="s">
        <v>31</v>
      </c>
      <c r="L27" t="s">
        <v>31</v>
      </c>
      <c r="M27" t="s">
        <v>31</v>
      </c>
      <c r="O27" t="s">
        <v>221</v>
      </c>
      <c r="P27">
        <v>0.68</v>
      </c>
    </row>
    <row r="28" spans="1:18">
      <c r="A28" s="47" t="s">
        <v>908</v>
      </c>
      <c r="B28">
        <f>R28</f>
        <v>0.44900000000000001</v>
      </c>
      <c r="C28" t="s">
        <v>37</v>
      </c>
      <c r="D28" t="s">
        <v>40</v>
      </c>
      <c r="E28" t="s">
        <v>29</v>
      </c>
      <c r="F28" t="s">
        <v>58</v>
      </c>
      <c r="G28" t="s">
        <v>33</v>
      </c>
      <c r="H28">
        <v>2</v>
      </c>
      <c r="I28">
        <f>LN(B28)</f>
        <v>-0.80073239123988271</v>
      </c>
      <c r="J28">
        <v>3.7749172176353707E-2</v>
      </c>
      <c r="K28" t="s">
        <v>31</v>
      </c>
      <c r="L28" t="s">
        <v>31</v>
      </c>
      <c r="M28" t="s">
        <v>31</v>
      </c>
      <c r="O28" s="119" t="s">
        <v>575</v>
      </c>
      <c r="P28" s="120">
        <v>449</v>
      </c>
      <c r="Q28" t="s">
        <v>221</v>
      </c>
      <c r="R28">
        <f>P28*0.001</f>
        <v>0.44900000000000001</v>
      </c>
    </row>
    <row r="29" spans="1:18">
      <c r="A29" s="47" t="s">
        <v>909</v>
      </c>
      <c r="B29">
        <f>R29</f>
        <v>2.6800000000000001E-2</v>
      </c>
      <c r="C29" t="s">
        <v>37</v>
      </c>
      <c r="D29" t="s">
        <v>40</v>
      </c>
      <c r="E29" t="s">
        <v>29</v>
      </c>
      <c r="F29" t="s">
        <v>58</v>
      </c>
      <c r="G29" t="s">
        <v>33</v>
      </c>
      <c r="H29">
        <v>2</v>
      </c>
      <c r="I29">
        <f>LN(B29)</f>
        <v>-3.6193533914653262</v>
      </c>
      <c r="J29">
        <v>3.7749172176353707E-2</v>
      </c>
      <c r="K29" t="s">
        <v>31</v>
      </c>
      <c r="L29" t="s">
        <v>31</v>
      </c>
      <c r="M29" t="s">
        <v>31</v>
      </c>
      <c r="O29" s="119" t="s">
        <v>575</v>
      </c>
      <c r="P29" s="120">
        <v>26.8</v>
      </c>
      <c r="Q29" t="s">
        <v>221</v>
      </c>
      <c r="R29">
        <f t="shared" ref="R29:R30" si="0">P29*0.001</f>
        <v>2.6800000000000001E-2</v>
      </c>
    </row>
    <row r="30" spans="1:18">
      <c r="A30" s="47" t="s">
        <v>910</v>
      </c>
      <c r="B30">
        <f>R30</f>
        <v>0.20300000000000001</v>
      </c>
      <c r="C30" t="s">
        <v>37</v>
      </c>
      <c r="D30" t="s">
        <v>40</v>
      </c>
      <c r="E30" t="s">
        <v>29</v>
      </c>
      <c r="F30" t="s">
        <v>58</v>
      </c>
      <c r="G30" t="s">
        <v>33</v>
      </c>
      <c r="H30">
        <v>2</v>
      </c>
      <c r="I30">
        <f>LN(B30)</f>
        <v>-1.5945492999403497</v>
      </c>
      <c r="J30">
        <v>3.7749172176353707E-2</v>
      </c>
      <c r="K30" t="s">
        <v>31</v>
      </c>
      <c r="L30" t="s">
        <v>31</v>
      </c>
      <c r="M30" t="s">
        <v>31</v>
      </c>
      <c r="O30" s="119" t="s">
        <v>575</v>
      </c>
      <c r="P30" s="120">
        <v>203</v>
      </c>
      <c r="Q30" t="s">
        <v>221</v>
      </c>
      <c r="R30">
        <f t="shared" si="0"/>
        <v>0.20300000000000001</v>
      </c>
    </row>
    <row r="31" spans="1:18" ht="15.75">
      <c r="A31" s="99" t="s">
        <v>5</v>
      </c>
      <c r="B31" s="100" t="s">
        <v>1860</v>
      </c>
      <c r="C31" s="39"/>
      <c r="D31" s="41"/>
      <c r="E31" s="41"/>
      <c r="F31" s="41"/>
      <c r="G31" s="41"/>
      <c r="H31" s="41"/>
      <c r="I31" s="41"/>
      <c r="J31" s="41"/>
      <c r="K31" s="41"/>
      <c r="L31" s="41"/>
      <c r="M31" s="41"/>
    </row>
    <row r="32" spans="1:18">
      <c r="A32" s="101" t="s">
        <v>7</v>
      </c>
      <c r="B32" t="s">
        <v>1807</v>
      </c>
      <c r="C32" s="102"/>
    </row>
    <row r="33" spans="1:18">
      <c r="A33" s="101" t="s">
        <v>9</v>
      </c>
      <c r="B33" t="s">
        <v>1863</v>
      </c>
      <c r="C33" s="102"/>
    </row>
    <row r="34" spans="1:18" ht="18" customHeight="1">
      <c r="A34" s="101" t="s">
        <v>11</v>
      </c>
      <c r="B34" s="103" t="s">
        <v>789</v>
      </c>
    </row>
    <row r="35" spans="1:18">
      <c r="A35" s="101" t="s">
        <v>13</v>
      </c>
      <c r="B35" t="s">
        <v>14</v>
      </c>
    </row>
    <row r="36" spans="1:18">
      <c r="A36" s="101" t="s">
        <v>15</v>
      </c>
      <c r="B36">
        <v>1</v>
      </c>
    </row>
    <row r="37" spans="1:18">
      <c r="A37" s="101" t="s">
        <v>16</v>
      </c>
      <c r="B37" t="s">
        <v>17</v>
      </c>
    </row>
    <row r="38" spans="1:18">
      <c r="A38" s="101" t="s">
        <v>18</v>
      </c>
      <c r="B38" t="s">
        <v>18</v>
      </c>
    </row>
    <row r="39" spans="1:18" ht="15.75">
      <c r="A39" s="105" t="s">
        <v>19</v>
      </c>
    </row>
    <row r="40" spans="1:18" ht="15.75">
      <c r="A40" s="105"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75">
      <c r="A41" t="s">
        <v>1860</v>
      </c>
      <c r="B41">
        <v>1</v>
      </c>
      <c r="C41" t="s">
        <v>18</v>
      </c>
      <c r="D41" s="111" t="s">
        <v>2</v>
      </c>
      <c r="E41" t="s">
        <v>29</v>
      </c>
      <c r="F41" s="104" t="s">
        <v>14</v>
      </c>
      <c r="G41" t="s">
        <v>30</v>
      </c>
      <c r="H41">
        <v>1</v>
      </c>
      <c r="I41">
        <v>1</v>
      </c>
      <c r="J41" t="s">
        <v>31</v>
      </c>
      <c r="K41" t="s">
        <v>31</v>
      </c>
      <c r="L41" t="s">
        <v>31</v>
      </c>
      <c r="M41" t="s">
        <v>31</v>
      </c>
    </row>
    <row r="42" spans="1:18" ht="15.75">
      <c r="A42" s="47" t="s">
        <v>1864</v>
      </c>
      <c r="B42">
        <f>B55</f>
        <v>0.24099999999999999</v>
      </c>
      <c r="C42" t="s">
        <v>37</v>
      </c>
      <c r="D42" s="111" t="s">
        <v>2</v>
      </c>
      <c r="E42" t="s">
        <v>29</v>
      </c>
      <c r="F42" s="104" t="s">
        <v>14</v>
      </c>
      <c r="G42" t="s">
        <v>33</v>
      </c>
      <c r="H42">
        <v>1</v>
      </c>
      <c r="I42">
        <f>B42</f>
        <v>0.24099999999999999</v>
      </c>
      <c r="J42" t="s">
        <v>31</v>
      </c>
      <c r="K42" t="s">
        <v>31</v>
      </c>
      <c r="L42" t="s">
        <v>31</v>
      </c>
      <c r="M42" t="s">
        <v>31</v>
      </c>
      <c r="O42" s="42"/>
      <c r="P42" s="112"/>
    </row>
    <row r="43" spans="1:18" ht="15.75">
      <c r="A43" s="47" t="s">
        <v>1865</v>
      </c>
      <c r="B43">
        <v>1</v>
      </c>
      <c r="C43" t="s">
        <v>18</v>
      </c>
      <c r="D43" s="111" t="s">
        <v>2</v>
      </c>
      <c r="E43" t="s">
        <v>29</v>
      </c>
      <c r="F43" s="104" t="s">
        <v>14</v>
      </c>
      <c r="G43" t="s">
        <v>33</v>
      </c>
      <c r="H43">
        <v>1</v>
      </c>
      <c r="I43">
        <v>1</v>
      </c>
      <c r="J43" t="s">
        <v>31</v>
      </c>
      <c r="K43" t="s">
        <v>31</v>
      </c>
      <c r="L43" t="s">
        <v>31</v>
      </c>
      <c r="M43" t="s">
        <v>31</v>
      </c>
    </row>
    <row r="44" spans="1:18" ht="15.75">
      <c r="A44" s="106" t="s">
        <v>38</v>
      </c>
      <c r="B44" s="23">
        <f>R44</f>
        <v>0.03</v>
      </c>
      <c r="C44" t="s">
        <v>39</v>
      </c>
      <c r="D44" s="17" t="s">
        <v>40</v>
      </c>
      <c r="E44" t="s">
        <v>29</v>
      </c>
      <c r="F44" s="104" t="s">
        <v>35</v>
      </c>
      <c r="G44" t="s">
        <v>33</v>
      </c>
      <c r="H44">
        <v>2</v>
      </c>
      <c r="I44">
        <f t="shared" ref="I44" si="1">LN(B44)</f>
        <v>-3.5065578973199818</v>
      </c>
      <c r="J44">
        <v>7.2284161474004766E-2</v>
      </c>
      <c r="K44" t="s">
        <v>31</v>
      </c>
      <c r="L44" t="s">
        <v>31</v>
      </c>
      <c r="M44" t="s">
        <v>31</v>
      </c>
      <c r="O44" s="123" t="s">
        <v>216</v>
      </c>
      <c r="P44" s="120">
        <v>0.03</v>
      </c>
      <c r="Q44" t="s">
        <v>216</v>
      </c>
      <c r="R44" s="23">
        <f>P44</f>
        <v>0.03</v>
      </c>
    </row>
    <row r="45" spans="1:18" ht="15.75">
      <c r="A45" s="99" t="s">
        <v>5</v>
      </c>
      <c r="B45" s="100" t="s">
        <v>1864</v>
      </c>
      <c r="C45" s="39"/>
      <c r="D45" s="41"/>
      <c r="E45" s="41"/>
      <c r="F45" s="41"/>
      <c r="G45" s="41"/>
      <c r="H45" s="41"/>
      <c r="I45" s="41"/>
      <c r="J45" s="41"/>
      <c r="K45" s="41"/>
      <c r="L45" s="41"/>
      <c r="M45" s="41"/>
    </row>
    <row r="46" spans="1:18">
      <c r="A46" s="101" t="s">
        <v>7</v>
      </c>
      <c r="B46" t="s">
        <v>1807</v>
      </c>
      <c r="C46" s="102"/>
    </row>
    <row r="47" spans="1:18">
      <c r="A47" s="101" t="s">
        <v>9</v>
      </c>
      <c r="B47" t="s">
        <v>1866</v>
      </c>
      <c r="C47" s="102"/>
    </row>
    <row r="48" spans="1:18" ht="11.25" customHeight="1">
      <c r="A48" s="101" t="s">
        <v>11</v>
      </c>
      <c r="B48" s="103" t="s">
        <v>789</v>
      </c>
    </row>
    <row r="49" spans="1:18">
      <c r="A49" s="101" t="s">
        <v>13</v>
      </c>
      <c r="B49" t="s">
        <v>14</v>
      </c>
    </row>
    <row r="50" spans="1:18">
      <c r="A50" s="101" t="s">
        <v>15</v>
      </c>
      <c r="B50">
        <f>B55</f>
        <v>0.24099999999999999</v>
      </c>
    </row>
    <row r="51" spans="1:18">
      <c r="A51" s="101" t="s">
        <v>16</v>
      </c>
      <c r="B51" t="s">
        <v>17</v>
      </c>
    </row>
    <row r="52" spans="1:18">
      <c r="A52" s="101" t="s">
        <v>18</v>
      </c>
      <c r="B52" t="s">
        <v>37</v>
      </c>
    </row>
    <row r="53" spans="1:18" ht="15.75">
      <c r="A53" s="105" t="s">
        <v>19</v>
      </c>
    </row>
    <row r="54" spans="1:18" ht="15.75">
      <c r="A54" s="105"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75">
      <c r="A55" s="47" t="s">
        <v>1864</v>
      </c>
      <c r="B55">
        <f>P55</f>
        <v>0.24099999999999999</v>
      </c>
      <c r="C55" t="s">
        <v>37</v>
      </c>
      <c r="D55" s="111" t="s">
        <v>2</v>
      </c>
      <c r="E55" t="s">
        <v>29</v>
      </c>
      <c r="F55" s="104" t="s">
        <v>14</v>
      </c>
      <c r="G55" t="s">
        <v>30</v>
      </c>
      <c r="H55">
        <v>1</v>
      </c>
      <c r="I55">
        <f>B55</f>
        <v>0.24099999999999999</v>
      </c>
      <c r="J55" t="s">
        <v>31</v>
      </c>
      <c r="K55" t="s">
        <v>31</v>
      </c>
      <c r="L55" t="s">
        <v>31</v>
      </c>
      <c r="M55" t="s">
        <v>31</v>
      </c>
      <c r="O55" s="176" t="s">
        <v>221</v>
      </c>
      <c r="P55" s="120">
        <v>0.24099999999999999</v>
      </c>
      <c r="Q55" t="s">
        <v>221</v>
      </c>
      <c r="R55">
        <f>P55</f>
        <v>0.24099999999999999</v>
      </c>
    </row>
    <row r="56" spans="1:18" ht="15.75">
      <c r="A56" s="47" t="s">
        <v>601</v>
      </c>
      <c r="B56" s="132">
        <f>R56</f>
        <v>0.24099999999999999</v>
      </c>
      <c r="C56" t="s">
        <v>37</v>
      </c>
      <c r="D56" s="17" t="s">
        <v>40</v>
      </c>
      <c r="E56" t="s">
        <v>29</v>
      </c>
      <c r="F56" s="104" t="s">
        <v>35</v>
      </c>
      <c r="G56" t="s">
        <v>33</v>
      </c>
      <c r="H56">
        <v>2</v>
      </c>
      <c r="I56">
        <f>LN(B56)</f>
        <v>-1.422958345491482</v>
      </c>
      <c r="J56">
        <v>2.8722813232690055E-2</v>
      </c>
      <c r="K56" t="s">
        <v>31</v>
      </c>
      <c r="L56" t="s">
        <v>31</v>
      </c>
      <c r="M56" t="s">
        <v>31</v>
      </c>
      <c r="O56" s="177" t="s">
        <v>221</v>
      </c>
      <c r="P56" s="120">
        <v>0.24099999999999999</v>
      </c>
      <c r="Q56" t="s">
        <v>221</v>
      </c>
      <c r="R56" s="132">
        <f>P56</f>
        <v>0.24099999999999999</v>
      </c>
    </row>
    <row r="57" spans="1:18" ht="15.75">
      <c r="A57" s="106" t="s">
        <v>38</v>
      </c>
      <c r="B57" s="113">
        <f>R57</f>
        <v>7.1999999999999995E-2</v>
      </c>
      <c r="C57" t="s">
        <v>39</v>
      </c>
      <c r="D57" s="17" t="s">
        <v>40</v>
      </c>
      <c r="E57" t="s">
        <v>29</v>
      </c>
      <c r="F57" s="104" t="s">
        <v>35</v>
      </c>
      <c r="G57" t="s">
        <v>33</v>
      </c>
      <c r="H57">
        <v>2</v>
      </c>
      <c r="I57">
        <f t="shared" ref="I57" si="2">LN(B57)</f>
        <v>-2.6310891599660819</v>
      </c>
      <c r="J57">
        <v>7.2284161474004766E-2</v>
      </c>
      <c r="K57" t="s">
        <v>31</v>
      </c>
      <c r="L57" t="s">
        <v>31</v>
      </c>
      <c r="M57" t="s">
        <v>31</v>
      </c>
      <c r="O57" s="123" t="s">
        <v>216</v>
      </c>
      <c r="P57" s="120">
        <v>7.1999999999999995E-2</v>
      </c>
      <c r="Q57" t="s">
        <v>216</v>
      </c>
      <c r="R57" s="113">
        <f>P57</f>
        <v>7.1999999999999995E-2</v>
      </c>
    </row>
    <row r="58" spans="1:18" ht="15.75">
      <c r="A58" s="99" t="s">
        <v>5</v>
      </c>
      <c r="B58" s="148" t="s">
        <v>1865</v>
      </c>
      <c r="C58" s="39"/>
      <c r="D58" s="41"/>
      <c r="E58" s="41"/>
      <c r="F58" s="41"/>
      <c r="G58" s="41"/>
      <c r="H58" s="41"/>
      <c r="I58" s="41"/>
      <c r="J58" s="41"/>
      <c r="K58" s="41"/>
      <c r="L58" s="41"/>
      <c r="M58" s="41"/>
    </row>
    <row r="59" spans="1:18">
      <c r="A59" s="101" t="s">
        <v>7</v>
      </c>
      <c r="B59" t="s">
        <v>1807</v>
      </c>
      <c r="C59" s="102"/>
    </row>
    <row r="60" spans="1:18">
      <c r="A60" s="114" t="s">
        <v>9</v>
      </c>
      <c r="B60" t="s">
        <v>1867</v>
      </c>
      <c r="C60" s="102"/>
    </row>
    <row r="61" spans="1:18" ht="27.75" customHeight="1">
      <c r="A61" s="101" t="s">
        <v>11</v>
      </c>
      <c r="B61" s="103" t="s">
        <v>789</v>
      </c>
    </row>
    <row r="62" spans="1:18">
      <c r="A62" s="101" t="s">
        <v>13</v>
      </c>
      <c r="B62" t="s">
        <v>14</v>
      </c>
    </row>
    <row r="63" spans="1:18">
      <c r="A63" s="101" t="s">
        <v>15</v>
      </c>
      <c r="B63">
        <v>1</v>
      </c>
    </row>
    <row r="64" spans="1:18">
      <c r="A64" s="101" t="s">
        <v>16</v>
      </c>
      <c r="B64" t="s">
        <v>17</v>
      </c>
    </row>
    <row r="65" spans="1:18">
      <c r="A65" s="101" t="s">
        <v>18</v>
      </c>
      <c r="B65" t="s">
        <v>18</v>
      </c>
    </row>
    <row r="66" spans="1:18" ht="15.75">
      <c r="A66" s="105" t="s">
        <v>19</v>
      </c>
    </row>
    <row r="67" spans="1:18" ht="15.75">
      <c r="A67" s="105"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75">
      <c r="A68" s="47" t="s">
        <v>1865</v>
      </c>
      <c r="B68">
        <v>1</v>
      </c>
      <c r="C68" t="s">
        <v>18</v>
      </c>
      <c r="D68" s="111" t="s">
        <v>2</v>
      </c>
      <c r="E68" t="s">
        <v>29</v>
      </c>
      <c r="F68" s="104" t="s">
        <v>14</v>
      </c>
      <c r="G68" t="s">
        <v>30</v>
      </c>
      <c r="H68">
        <v>1</v>
      </c>
      <c r="I68">
        <v>1</v>
      </c>
      <c r="J68" t="s">
        <v>31</v>
      </c>
      <c r="K68" t="s">
        <v>31</v>
      </c>
      <c r="L68" t="s">
        <v>31</v>
      </c>
      <c r="M68" t="s">
        <v>31</v>
      </c>
    </row>
    <row r="69" spans="1:18" ht="15.75">
      <c r="A69" s="47" t="s">
        <v>1868</v>
      </c>
      <c r="B69" s="132">
        <f>B77</f>
        <v>0.12</v>
      </c>
      <c r="C69" t="s">
        <v>37</v>
      </c>
      <c r="D69" s="111" t="s">
        <v>2</v>
      </c>
      <c r="E69" t="s">
        <v>29</v>
      </c>
      <c r="F69" s="104" t="s">
        <v>14</v>
      </c>
      <c r="G69" t="s">
        <v>33</v>
      </c>
      <c r="H69">
        <v>1</v>
      </c>
      <c r="I69" s="132">
        <f>B69</f>
        <v>0.12</v>
      </c>
      <c r="J69" t="s">
        <v>31</v>
      </c>
      <c r="K69" t="s">
        <v>31</v>
      </c>
      <c r="L69" t="s">
        <v>31</v>
      </c>
      <c r="M69" t="s">
        <v>31</v>
      </c>
      <c r="O69" s="123"/>
      <c r="P69" s="134"/>
      <c r="Q69" t="s">
        <v>221</v>
      </c>
      <c r="R69" s="132">
        <v>0.01</v>
      </c>
    </row>
    <row r="70" spans="1:18" ht="15.75">
      <c r="A70" s="47" t="s">
        <v>1869</v>
      </c>
      <c r="B70" s="113">
        <v>1</v>
      </c>
      <c r="C70" t="s">
        <v>18</v>
      </c>
      <c r="D70" s="111" t="s">
        <v>2</v>
      </c>
      <c r="E70" t="s">
        <v>29</v>
      </c>
      <c r="F70" s="104" t="s">
        <v>14</v>
      </c>
      <c r="G70" t="s">
        <v>33</v>
      </c>
      <c r="H70">
        <v>1</v>
      </c>
      <c r="I70">
        <v>1</v>
      </c>
      <c r="J70" t="s">
        <v>31</v>
      </c>
      <c r="K70" t="s">
        <v>31</v>
      </c>
      <c r="L70" t="s">
        <v>31</v>
      </c>
      <c r="M70" t="s">
        <v>31</v>
      </c>
      <c r="O70" s="123"/>
      <c r="P70" s="178"/>
      <c r="R70" s="113"/>
    </row>
    <row r="71" spans="1:18" ht="15.75">
      <c r="A71" s="106" t="s">
        <v>38</v>
      </c>
      <c r="B71" s="113">
        <f>R71</f>
        <v>0.83</v>
      </c>
      <c r="C71" t="s">
        <v>39</v>
      </c>
      <c r="D71" s="17" t="s">
        <v>40</v>
      </c>
      <c r="E71" t="s">
        <v>29</v>
      </c>
      <c r="F71" s="104" t="s">
        <v>35</v>
      </c>
      <c r="G71" t="s">
        <v>33</v>
      </c>
      <c r="H71">
        <v>2</v>
      </c>
      <c r="I71">
        <f t="shared" ref="I71" si="3">LN(B71)</f>
        <v>-0.18632957819149348</v>
      </c>
      <c r="J71">
        <v>7.2284161474004766E-2</v>
      </c>
      <c r="K71" t="s">
        <v>31</v>
      </c>
      <c r="L71" t="s">
        <v>31</v>
      </c>
      <c r="M71" t="s">
        <v>31</v>
      </c>
      <c r="O71" s="123" t="s">
        <v>216</v>
      </c>
      <c r="P71" s="120">
        <v>0.83</v>
      </c>
      <c r="Q71" t="s">
        <v>216</v>
      </c>
      <c r="R71" s="113">
        <f>P71</f>
        <v>0.83</v>
      </c>
    </row>
    <row r="72" spans="1:18" ht="15.75">
      <c r="A72" s="99" t="s">
        <v>5</v>
      </c>
      <c r="B72" s="148" t="s">
        <v>1868</v>
      </c>
      <c r="C72" s="39"/>
      <c r="D72" s="41"/>
      <c r="E72" s="41"/>
      <c r="F72" s="41"/>
      <c r="G72" s="41"/>
      <c r="H72" s="41"/>
      <c r="I72" s="41"/>
      <c r="J72" s="41"/>
      <c r="K72" s="41"/>
      <c r="L72" s="41"/>
      <c r="M72" s="41"/>
    </row>
    <row r="73" spans="1:18">
      <c r="A73" s="101" t="s">
        <v>7</v>
      </c>
      <c r="B73" t="s">
        <v>1807</v>
      </c>
      <c r="C73" s="102"/>
    </row>
    <row r="74" spans="1:18">
      <c r="A74" s="114" t="s">
        <v>9</v>
      </c>
      <c r="B74" t="s">
        <v>1870</v>
      </c>
      <c r="C74" s="102"/>
    </row>
    <row r="75" spans="1:18" ht="15" customHeight="1">
      <c r="A75" s="101" t="s">
        <v>11</v>
      </c>
      <c r="B75" s="103" t="s">
        <v>789</v>
      </c>
    </row>
    <row r="76" spans="1:18">
      <c r="A76" s="101" t="s">
        <v>13</v>
      </c>
      <c r="B76" t="s">
        <v>14</v>
      </c>
    </row>
    <row r="77" spans="1:18">
      <c r="A77" s="101" t="s">
        <v>15</v>
      </c>
      <c r="B77" s="23">
        <f>B82</f>
        <v>0.12</v>
      </c>
    </row>
    <row r="78" spans="1:18">
      <c r="A78" s="101" t="s">
        <v>16</v>
      </c>
      <c r="B78" t="s">
        <v>17</v>
      </c>
    </row>
    <row r="79" spans="1:18">
      <c r="A79" s="101" t="s">
        <v>18</v>
      </c>
      <c r="B79" t="s">
        <v>37</v>
      </c>
    </row>
    <row r="80" spans="1:18" ht="15.75">
      <c r="A80" s="105" t="s">
        <v>19</v>
      </c>
    </row>
    <row r="81" spans="1:18" ht="15.75">
      <c r="A81" s="105"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75">
      <c r="A82" s="47" t="s">
        <v>1868</v>
      </c>
      <c r="B82" s="23">
        <v>0.12</v>
      </c>
      <c r="C82" t="s">
        <v>37</v>
      </c>
      <c r="D82" s="111" t="s">
        <v>2</v>
      </c>
      <c r="E82" t="s">
        <v>29</v>
      </c>
      <c r="F82" s="104" t="s">
        <v>14</v>
      </c>
      <c r="G82" t="s">
        <v>30</v>
      </c>
      <c r="H82">
        <v>1</v>
      </c>
      <c r="I82" s="23">
        <f>B82</f>
        <v>0.12</v>
      </c>
      <c r="J82" t="s">
        <v>31</v>
      </c>
      <c r="K82" t="s">
        <v>31</v>
      </c>
      <c r="L82" t="s">
        <v>31</v>
      </c>
      <c r="M82" t="s">
        <v>31</v>
      </c>
      <c r="O82" s="123"/>
      <c r="P82" s="134"/>
      <c r="Q82" t="s">
        <v>221</v>
      </c>
      <c r="R82" s="132">
        <v>0.01</v>
      </c>
    </row>
    <row r="83" spans="1:18" ht="15.75">
      <c r="A83" s="47" t="s">
        <v>655</v>
      </c>
      <c r="B83" s="23">
        <v>0.12</v>
      </c>
      <c r="C83" t="s">
        <v>37</v>
      </c>
      <c r="D83" s="17" t="s">
        <v>40</v>
      </c>
      <c r="E83" t="s">
        <v>29</v>
      </c>
      <c r="F83" s="104" t="s">
        <v>58</v>
      </c>
      <c r="G83" t="s">
        <v>33</v>
      </c>
      <c r="H83">
        <v>1</v>
      </c>
      <c r="I83" s="23">
        <f t="shared" ref="I83:I84" si="4">B83</f>
        <v>0.12</v>
      </c>
      <c r="J83" t="s">
        <v>31</v>
      </c>
      <c r="K83" t="s">
        <v>31</v>
      </c>
      <c r="L83" t="s">
        <v>31</v>
      </c>
      <c r="M83" t="s">
        <v>31</v>
      </c>
      <c r="O83" s="123"/>
      <c r="P83" s="178"/>
      <c r="R83" s="113"/>
    </row>
    <row r="84" spans="1:18">
      <c r="A84" s="47" t="s">
        <v>708</v>
      </c>
      <c r="B84" s="23">
        <v>0.12</v>
      </c>
      <c r="C84" t="s">
        <v>37</v>
      </c>
      <c r="D84" t="s">
        <v>40</v>
      </c>
      <c r="E84" t="s">
        <v>29</v>
      </c>
      <c r="F84" t="s">
        <v>58</v>
      </c>
      <c r="G84" t="s">
        <v>33</v>
      </c>
      <c r="H84">
        <v>1</v>
      </c>
      <c r="I84" s="23">
        <f t="shared" si="4"/>
        <v>0.12</v>
      </c>
      <c r="J84" t="s">
        <v>31</v>
      </c>
      <c r="K84" t="s">
        <v>31</v>
      </c>
      <c r="L84" t="s">
        <v>31</v>
      </c>
      <c r="M84" t="s">
        <v>31</v>
      </c>
    </row>
    <row r="85" spans="1:18" s="41" customFormat="1" ht="15.75">
      <c r="A85" s="99" t="s">
        <v>5</v>
      </c>
      <c r="B85" s="148" t="s">
        <v>1869</v>
      </c>
      <c r="C85" s="39"/>
    </row>
    <row r="86" spans="1:18">
      <c r="A86" s="101" t="s">
        <v>7</v>
      </c>
      <c r="B86" t="s">
        <v>1807</v>
      </c>
      <c r="C86" s="102"/>
    </row>
    <row r="87" spans="1:18">
      <c r="A87" s="114" t="s">
        <v>9</v>
      </c>
      <c r="B87" t="s">
        <v>1871</v>
      </c>
      <c r="C87" s="102"/>
    </row>
    <row r="88" spans="1:18" ht="15.75" customHeight="1">
      <c r="A88" s="101" t="s">
        <v>11</v>
      </c>
      <c r="B88" s="103" t="s">
        <v>789</v>
      </c>
    </row>
    <row r="89" spans="1:18">
      <c r="A89" s="101" t="s">
        <v>13</v>
      </c>
      <c r="B89" t="s">
        <v>14</v>
      </c>
    </row>
    <row r="90" spans="1:18">
      <c r="A90" s="101" t="s">
        <v>15</v>
      </c>
      <c r="B90">
        <v>1</v>
      </c>
    </row>
    <row r="91" spans="1:18">
      <c r="A91" s="101" t="s">
        <v>16</v>
      </c>
      <c r="B91" t="s">
        <v>17</v>
      </c>
    </row>
    <row r="92" spans="1:18">
      <c r="A92" s="101" t="s">
        <v>18</v>
      </c>
      <c r="B92" t="s">
        <v>18</v>
      </c>
    </row>
    <row r="93" spans="1:18" ht="15.75">
      <c r="A93" s="105" t="s">
        <v>19</v>
      </c>
    </row>
    <row r="94" spans="1:18" ht="15.75">
      <c r="A94" s="105"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75">
      <c r="A95" s="47" t="s">
        <v>1869</v>
      </c>
      <c r="B95" s="113">
        <v>1</v>
      </c>
      <c r="C95" t="s">
        <v>18</v>
      </c>
      <c r="D95" s="111" t="s">
        <v>2</v>
      </c>
      <c r="E95" t="s">
        <v>29</v>
      </c>
      <c r="F95" s="104" t="s">
        <v>14</v>
      </c>
      <c r="G95" t="s">
        <v>30</v>
      </c>
      <c r="H95">
        <v>1</v>
      </c>
      <c r="I95">
        <v>1</v>
      </c>
      <c r="J95" t="s">
        <v>31</v>
      </c>
      <c r="K95" t="s">
        <v>31</v>
      </c>
      <c r="L95" t="s">
        <v>31</v>
      </c>
      <c r="M95" t="s">
        <v>31</v>
      </c>
      <c r="O95" s="123"/>
      <c r="P95" s="178"/>
      <c r="R95" s="113"/>
    </row>
    <row r="96" spans="1:18" ht="15.75">
      <c r="A96" s="47" t="s">
        <v>1872</v>
      </c>
      <c r="B96">
        <v>1</v>
      </c>
      <c r="C96" t="s">
        <v>18</v>
      </c>
      <c r="D96" s="111" t="s">
        <v>2</v>
      </c>
      <c r="E96" t="s">
        <v>29</v>
      </c>
      <c r="F96" s="104" t="s">
        <v>14</v>
      </c>
      <c r="G96" t="s">
        <v>33</v>
      </c>
      <c r="H96">
        <v>1</v>
      </c>
      <c r="I96">
        <v>1</v>
      </c>
      <c r="J96" t="s">
        <v>31</v>
      </c>
      <c r="K96" t="s">
        <v>31</v>
      </c>
      <c r="L96" t="s">
        <v>31</v>
      </c>
      <c r="M96" t="s">
        <v>31</v>
      </c>
      <c r="O96" s="123"/>
      <c r="P96" s="178"/>
    </row>
    <row r="97" spans="1:20" ht="15.75">
      <c r="A97" s="106" t="s">
        <v>38</v>
      </c>
      <c r="B97" s="113">
        <f>R97</f>
        <v>0.05</v>
      </c>
      <c r="C97" t="s">
        <v>39</v>
      </c>
      <c r="D97" s="17" t="s">
        <v>40</v>
      </c>
      <c r="E97" t="s">
        <v>29</v>
      </c>
      <c r="F97" s="104" t="s">
        <v>35</v>
      </c>
      <c r="G97" t="s">
        <v>33</v>
      </c>
      <c r="H97">
        <v>2</v>
      </c>
      <c r="I97">
        <f t="shared" ref="I97" si="5">LN(B97)</f>
        <v>-2.9957322735539909</v>
      </c>
      <c r="J97">
        <v>7.2284161474004766E-2</v>
      </c>
      <c r="K97" t="s">
        <v>31</v>
      </c>
      <c r="L97" t="s">
        <v>31</v>
      </c>
      <c r="M97" t="s">
        <v>31</v>
      </c>
      <c r="O97" s="123" t="s">
        <v>216</v>
      </c>
      <c r="P97" s="120">
        <v>0.05</v>
      </c>
      <c r="Q97" t="s">
        <v>216</v>
      </c>
      <c r="R97" s="113">
        <f>P97</f>
        <v>0.05</v>
      </c>
    </row>
    <row r="98" spans="1:20" s="41" customFormat="1" ht="15.75">
      <c r="A98" s="99" t="s">
        <v>5</v>
      </c>
      <c r="B98" s="148" t="s">
        <v>1872</v>
      </c>
      <c r="C98" s="39"/>
    </row>
    <row r="99" spans="1:20">
      <c r="A99" s="101" t="s">
        <v>7</v>
      </c>
      <c r="B99" t="s">
        <v>1807</v>
      </c>
      <c r="C99" s="102"/>
    </row>
    <row r="100" spans="1:20">
      <c r="A100" s="114" t="s">
        <v>9</v>
      </c>
      <c r="B100" t="s">
        <v>1873</v>
      </c>
      <c r="C100" s="102"/>
    </row>
    <row r="101" spans="1:20" ht="15.75" customHeight="1">
      <c r="A101" s="101" t="s">
        <v>11</v>
      </c>
      <c r="B101" s="103" t="s">
        <v>789</v>
      </c>
    </row>
    <row r="102" spans="1:20">
      <c r="A102" s="101" t="s">
        <v>13</v>
      </c>
      <c r="B102" t="s">
        <v>14</v>
      </c>
    </row>
    <row r="103" spans="1:20">
      <c r="A103" s="101" t="s">
        <v>15</v>
      </c>
      <c r="B103">
        <v>1</v>
      </c>
    </row>
    <row r="104" spans="1:20">
      <c r="A104" s="101" t="s">
        <v>16</v>
      </c>
      <c r="B104" t="s">
        <v>17</v>
      </c>
    </row>
    <row r="105" spans="1:20">
      <c r="A105" s="101" t="s">
        <v>18</v>
      </c>
      <c r="B105" t="s">
        <v>18</v>
      </c>
    </row>
    <row r="106" spans="1:20" ht="15.75">
      <c r="A106" s="105" t="s">
        <v>19</v>
      </c>
    </row>
    <row r="107" spans="1:20" ht="15.75">
      <c r="A107" s="105"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row>
    <row r="108" spans="1:20" ht="15.75">
      <c r="A108" s="47" t="s">
        <v>1872</v>
      </c>
      <c r="B108">
        <v>1</v>
      </c>
      <c r="C108" t="s">
        <v>18</v>
      </c>
      <c r="D108" s="17" t="s">
        <v>2</v>
      </c>
      <c r="E108" t="s">
        <v>29</v>
      </c>
      <c r="F108" s="104" t="s">
        <v>14</v>
      </c>
      <c r="G108" t="s">
        <v>30</v>
      </c>
      <c r="H108">
        <v>1</v>
      </c>
      <c r="I108">
        <v>1</v>
      </c>
      <c r="J108" t="s">
        <v>31</v>
      </c>
      <c r="K108" t="s">
        <v>31</v>
      </c>
      <c r="L108" t="s">
        <v>31</v>
      </c>
      <c r="M108" t="s">
        <v>31</v>
      </c>
      <c r="P108" s="179"/>
    </row>
    <row r="109" spans="1:20" ht="15.75">
      <c r="A109" s="106" t="s">
        <v>1874</v>
      </c>
      <c r="B109" s="180">
        <f>B133</f>
        <v>7.8E-2</v>
      </c>
      <c r="C109" t="s">
        <v>113</v>
      </c>
      <c r="D109" s="17" t="s">
        <v>2</v>
      </c>
      <c r="E109" t="s">
        <v>29</v>
      </c>
      <c r="F109" s="104" t="s">
        <v>14</v>
      </c>
      <c r="G109" t="s">
        <v>33</v>
      </c>
      <c r="H109">
        <v>1</v>
      </c>
      <c r="I109" s="180">
        <f>B109</f>
        <v>7.8E-2</v>
      </c>
      <c r="J109" t="s">
        <v>31</v>
      </c>
      <c r="K109" t="s">
        <v>31</v>
      </c>
      <c r="L109" t="s">
        <v>31</v>
      </c>
      <c r="M109" t="s">
        <v>31</v>
      </c>
      <c r="O109" s="149"/>
      <c r="P109" s="150"/>
      <c r="Q109" s="113"/>
    </row>
    <row r="110" spans="1:20" ht="15.75">
      <c r="A110" t="s">
        <v>1835</v>
      </c>
      <c r="B110" s="132">
        <f>T110</f>
        <v>0.36599999999999994</v>
      </c>
      <c r="C110" s="22" t="s">
        <v>113</v>
      </c>
      <c r="D110" s="17" t="s">
        <v>2</v>
      </c>
      <c r="E110" t="s">
        <v>29</v>
      </c>
      <c r="F110" s="104" t="s">
        <v>14</v>
      </c>
      <c r="G110" t="s">
        <v>33</v>
      </c>
      <c r="H110">
        <v>1</v>
      </c>
      <c r="I110" s="180">
        <f t="shared" ref="I110:I111" si="6">B110</f>
        <v>0.36599999999999994</v>
      </c>
      <c r="J110" t="s">
        <v>31</v>
      </c>
      <c r="K110" t="s">
        <v>31</v>
      </c>
      <c r="L110" t="s">
        <v>31</v>
      </c>
      <c r="M110" t="s">
        <v>31</v>
      </c>
      <c r="O110" s="181" t="s">
        <v>575</v>
      </c>
      <c r="P110" s="182">
        <v>61</v>
      </c>
      <c r="Q110" s="147" t="s">
        <v>923</v>
      </c>
      <c r="R110">
        <f>0.3/0.05</f>
        <v>5.9999999999999991</v>
      </c>
      <c r="S110" t="s">
        <v>886</v>
      </c>
      <c r="T110" s="132">
        <f>P110*0.001*R110</f>
        <v>0.36599999999999994</v>
      </c>
    </row>
    <row r="111" spans="1:20" ht="15.75">
      <c r="A111" t="s">
        <v>1875</v>
      </c>
      <c r="B111">
        <v>1</v>
      </c>
      <c r="C111" t="s">
        <v>18</v>
      </c>
      <c r="D111" s="17" t="s">
        <v>2</v>
      </c>
      <c r="E111" t="s">
        <v>29</v>
      </c>
      <c r="F111" s="104" t="s">
        <v>14</v>
      </c>
      <c r="G111" t="s">
        <v>33</v>
      </c>
      <c r="H111">
        <v>1</v>
      </c>
      <c r="I111" s="180">
        <f t="shared" si="6"/>
        <v>1</v>
      </c>
      <c r="J111" t="s">
        <v>31</v>
      </c>
      <c r="K111" t="s">
        <v>31</v>
      </c>
      <c r="L111" t="s">
        <v>31</v>
      </c>
      <c r="M111" t="s">
        <v>31</v>
      </c>
      <c r="O111" s="149"/>
      <c r="P111" s="150"/>
    </row>
    <row r="112" spans="1:20" ht="15.75">
      <c r="A112" s="47" t="s">
        <v>601</v>
      </c>
      <c r="B112" s="132">
        <f>R112</f>
        <v>3.5E-4</v>
      </c>
      <c r="C112" t="s">
        <v>37</v>
      </c>
      <c r="D112" s="17" t="s">
        <v>40</v>
      </c>
      <c r="E112" t="s">
        <v>29</v>
      </c>
      <c r="F112" s="104" t="s">
        <v>35</v>
      </c>
      <c r="G112" t="s">
        <v>33</v>
      </c>
      <c r="H112">
        <v>2</v>
      </c>
      <c r="I112">
        <f>LN(B112)</f>
        <v>-7.9575774034808147</v>
      </c>
      <c r="J112">
        <v>2.8722813232690055E-2</v>
      </c>
      <c r="K112" t="s">
        <v>31</v>
      </c>
      <c r="L112" t="s">
        <v>31</v>
      </c>
      <c r="M112" t="s">
        <v>31</v>
      </c>
      <c r="O112" s="181" t="s">
        <v>575</v>
      </c>
      <c r="P112" s="175">
        <v>0.35</v>
      </c>
      <c r="Q112" t="s">
        <v>221</v>
      </c>
      <c r="R112" s="132">
        <f>P112*10^-3</f>
        <v>3.5E-4</v>
      </c>
    </row>
    <row r="113" spans="1:18" s="41" customFormat="1" ht="15.75">
      <c r="A113" s="99" t="s">
        <v>5</v>
      </c>
      <c r="B113" s="108" t="s">
        <v>1875</v>
      </c>
      <c r="C113" s="39"/>
    </row>
    <row r="114" spans="1:18">
      <c r="A114" s="101" t="s">
        <v>7</v>
      </c>
      <c r="B114" t="s">
        <v>1807</v>
      </c>
      <c r="C114" s="102"/>
    </row>
    <row r="115" spans="1:18">
      <c r="A115" s="114" t="s">
        <v>9</v>
      </c>
      <c r="B115" t="s">
        <v>1876</v>
      </c>
      <c r="C115" s="102"/>
    </row>
    <row r="116" spans="1:18" ht="15.75" customHeight="1">
      <c r="A116" s="101" t="s">
        <v>11</v>
      </c>
      <c r="B116" s="103" t="s">
        <v>789</v>
      </c>
    </row>
    <row r="117" spans="1:18">
      <c r="A117" s="101" t="s">
        <v>13</v>
      </c>
      <c r="B117" t="s">
        <v>14</v>
      </c>
    </row>
    <row r="118" spans="1:18">
      <c r="A118" s="101" t="s">
        <v>15</v>
      </c>
      <c r="B118">
        <v>1</v>
      </c>
    </row>
    <row r="119" spans="1:18">
      <c r="A119" s="101" t="s">
        <v>16</v>
      </c>
      <c r="B119" t="s">
        <v>17</v>
      </c>
    </row>
    <row r="120" spans="1:18">
      <c r="A120" s="101" t="s">
        <v>18</v>
      </c>
      <c r="B120" t="s">
        <v>18</v>
      </c>
    </row>
    <row r="121" spans="1:18" ht="15.75">
      <c r="A121" s="105" t="s">
        <v>19</v>
      </c>
    </row>
    <row r="122" spans="1:18" ht="15.75">
      <c r="A122" s="105"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75">
      <c r="A123" t="s">
        <v>1875</v>
      </c>
      <c r="B123">
        <v>1</v>
      </c>
      <c r="C123" t="s">
        <v>18</v>
      </c>
      <c r="D123" s="111" t="s">
        <v>2</v>
      </c>
      <c r="E123" t="s">
        <v>29</v>
      </c>
      <c r="F123" s="104" t="s">
        <v>14</v>
      </c>
      <c r="G123" t="s">
        <v>30</v>
      </c>
      <c r="H123">
        <v>1</v>
      </c>
      <c r="I123">
        <v>1</v>
      </c>
      <c r="J123" t="s">
        <v>31</v>
      </c>
      <c r="K123" t="s">
        <v>31</v>
      </c>
      <c r="L123" t="s">
        <v>31</v>
      </c>
      <c r="M123" t="s">
        <v>31</v>
      </c>
    </row>
    <row r="124" spans="1:18" ht="15.75">
      <c r="A124" s="47" t="s">
        <v>610</v>
      </c>
      <c r="B124">
        <f>R124</f>
        <v>0.68</v>
      </c>
      <c r="C124" t="s">
        <v>37</v>
      </c>
      <c r="D124" s="17" t="s">
        <v>40</v>
      </c>
      <c r="E124" t="s">
        <v>29</v>
      </c>
      <c r="F124" t="s">
        <v>58</v>
      </c>
      <c r="G124" t="s">
        <v>33</v>
      </c>
      <c r="H124">
        <v>1</v>
      </c>
      <c r="I124">
        <f>B124</f>
        <v>0.68</v>
      </c>
      <c r="J124" t="s">
        <v>31</v>
      </c>
      <c r="K124" t="s">
        <v>31</v>
      </c>
      <c r="L124" t="s">
        <v>31</v>
      </c>
      <c r="M124" t="s">
        <v>31</v>
      </c>
      <c r="P124" s="183">
        <v>0.68</v>
      </c>
      <c r="Q124" t="s">
        <v>221</v>
      </c>
      <c r="R124">
        <f>P124</f>
        <v>0.68</v>
      </c>
    </row>
    <row r="125" spans="1:18">
      <c r="A125" s="47" t="s">
        <v>908</v>
      </c>
      <c r="B125">
        <f t="shared" ref="B125:B127" si="7">R125</f>
        <v>0.44900000000000001</v>
      </c>
      <c r="C125" t="s">
        <v>37</v>
      </c>
      <c r="D125" t="s">
        <v>40</v>
      </c>
      <c r="E125" t="s">
        <v>29</v>
      </c>
      <c r="F125" t="s">
        <v>58</v>
      </c>
      <c r="G125" t="s">
        <v>33</v>
      </c>
      <c r="H125">
        <v>2</v>
      </c>
      <c r="I125">
        <f>LN(B125)</f>
        <v>-0.80073239123988271</v>
      </c>
      <c r="J125">
        <v>3.7749172176353707E-2</v>
      </c>
      <c r="K125" t="s">
        <v>31</v>
      </c>
      <c r="L125" t="s">
        <v>31</v>
      </c>
      <c r="M125" t="s">
        <v>31</v>
      </c>
      <c r="O125" s="119" t="s">
        <v>575</v>
      </c>
      <c r="P125" s="120">
        <v>449</v>
      </c>
      <c r="Q125" t="s">
        <v>221</v>
      </c>
      <c r="R125">
        <f>P125*0.001</f>
        <v>0.44900000000000001</v>
      </c>
    </row>
    <row r="126" spans="1:18">
      <c r="A126" s="47" t="s">
        <v>909</v>
      </c>
      <c r="B126">
        <f t="shared" si="7"/>
        <v>2.6800000000000001E-2</v>
      </c>
      <c r="C126" t="s">
        <v>37</v>
      </c>
      <c r="D126" t="s">
        <v>40</v>
      </c>
      <c r="E126" t="s">
        <v>29</v>
      </c>
      <c r="F126" t="s">
        <v>58</v>
      </c>
      <c r="G126" t="s">
        <v>33</v>
      </c>
      <c r="H126">
        <v>2</v>
      </c>
      <c r="I126">
        <f>LN(B126)</f>
        <v>-3.6193533914653262</v>
      </c>
      <c r="J126">
        <v>3.7749172176353707E-2</v>
      </c>
      <c r="K126" t="s">
        <v>31</v>
      </c>
      <c r="L126" t="s">
        <v>31</v>
      </c>
      <c r="M126" t="s">
        <v>31</v>
      </c>
      <c r="O126" s="119" t="s">
        <v>575</v>
      </c>
      <c r="P126" s="120">
        <v>26.8</v>
      </c>
      <c r="Q126" t="s">
        <v>221</v>
      </c>
      <c r="R126">
        <f t="shared" ref="R126:R127" si="8">P126*0.001</f>
        <v>2.6800000000000001E-2</v>
      </c>
    </row>
    <row r="127" spans="1:18">
      <c r="A127" s="47" t="s">
        <v>910</v>
      </c>
      <c r="B127">
        <f t="shared" si="7"/>
        <v>0.20300000000000001</v>
      </c>
      <c r="C127" t="s">
        <v>37</v>
      </c>
      <c r="D127" t="s">
        <v>40</v>
      </c>
      <c r="E127" t="s">
        <v>29</v>
      </c>
      <c r="F127" t="s">
        <v>58</v>
      </c>
      <c r="G127" t="s">
        <v>33</v>
      </c>
      <c r="H127">
        <v>2</v>
      </c>
      <c r="I127">
        <f>LN(B127)</f>
        <v>-1.5945492999403497</v>
      </c>
      <c r="J127">
        <v>3.7749172176353707E-2</v>
      </c>
      <c r="K127" t="s">
        <v>31</v>
      </c>
      <c r="L127" t="s">
        <v>31</v>
      </c>
      <c r="M127" t="s">
        <v>31</v>
      </c>
      <c r="O127" s="119" t="s">
        <v>575</v>
      </c>
      <c r="P127" s="120">
        <v>203</v>
      </c>
      <c r="Q127" t="s">
        <v>221</v>
      </c>
      <c r="R127">
        <f t="shared" si="8"/>
        <v>0.20300000000000001</v>
      </c>
    </row>
    <row r="128" spans="1:18" s="41" customFormat="1" ht="15.75">
      <c r="A128" s="99" t="s">
        <v>5</v>
      </c>
      <c r="B128" s="148" t="s">
        <v>1874</v>
      </c>
      <c r="C128" s="39"/>
    </row>
    <row r="129" spans="1:18">
      <c r="A129" s="101" t="s">
        <v>7</v>
      </c>
      <c r="B129" t="s">
        <v>1807</v>
      </c>
      <c r="C129" s="102"/>
    </row>
    <row r="130" spans="1:18">
      <c r="A130" s="114" t="s">
        <v>9</v>
      </c>
      <c r="B130" t="s">
        <v>1877</v>
      </c>
      <c r="C130" s="102"/>
    </row>
    <row r="131" spans="1:18" ht="15.75" customHeight="1">
      <c r="A131" s="101" t="s">
        <v>11</v>
      </c>
      <c r="B131" s="103" t="s">
        <v>789</v>
      </c>
    </row>
    <row r="132" spans="1:18">
      <c r="A132" s="101" t="s">
        <v>13</v>
      </c>
      <c r="B132" t="s">
        <v>14</v>
      </c>
    </row>
    <row r="133" spans="1:18">
      <c r="A133" s="101" t="s">
        <v>15</v>
      </c>
      <c r="B133" s="115">
        <f>B138</f>
        <v>7.8E-2</v>
      </c>
    </row>
    <row r="134" spans="1:18">
      <c r="A134" s="101" t="s">
        <v>16</v>
      </c>
      <c r="B134" t="s">
        <v>17</v>
      </c>
    </row>
    <row r="135" spans="1:18">
      <c r="A135" s="101" t="s">
        <v>18</v>
      </c>
      <c r="B135" t="s">
        <v>113</v>
      </c>
    </row>
    <row r="136" spans="1:18" ht="15.75">
      <c r="A136" s="105" t="s">
        <v>19</v>
      </c>
    </row>
    <row r="137" spans="1:18" ht="15.75">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75">
      <c r="A138" s="17" t="s">
        <v>1874</v>
      </c>
      <c r="B138" s="115">
        <f>P138</f>
        <v>7.8E-2</v>
      </c>
      <c r="C138" t="s">
        <v>113</v>
      </c>
      <c r="D138" s="111" t="s">
        <v>2</v>
      </c>
      <c r="E138" t="s">
        <v>29</v>
      </c>
      <c r="F138" s="104" t="s">
        <v>14</v>
      </c>
      <c r="G138" t="s">
        <v>30</v>
      </c>
      <c r="H138">
        <v>1</v>
      </c>
      <c r="I138" s="180">
        <f>B138</f>
        <v>7.8E-2</v>
      </c>
      <c r="J138" t="s">
        <v>31</v>
      </c>
      <c r="K138" t="s">
        <v>31</v>
      </c>
      <c r="L138" t="s">
        <v>31</v>
      </c>
      <c r="M138" t="s">
        <v>31</v>
      </c>
      <c r="O138" s="149"/>
      <c r="P138" s="184">
        <f>P152</f>
        <v>7.8E-2</v>
      </c>
      <c r="Q138" s="113"/>
    </row>
    <row r="139" spans="1:18" ht="15.75">
      <c r="A139" s="42" t="s">
        <v>1878</v>
      </c>
      <c r="B139" s="115">
        <f>P139</f>
        <v>7.8E-2</v>
      </c>
      <c r="C139" t="s">
        <v>113</v>
      </c>
      <c r="D139" s="111" t="s">
        <v>2</v>
      </c>
      <c r="E139" t="s">
        <v>29</v>
      </c>
      <c r="F139" s="104" t="s">
        <v>14</v>
      </c>
      <c r="G139" t="s">
        <v>33</v>
      </c>
      <c r="H139">
        <v>1</v>
      </c>
      <c r="I139" s="180">
        <f>B139</f>
        <v>7.8E-2</v>
      </c>
      <c r="J139" t="s">
        <v>31</v>
      </c>
      <c r="K139" t="s">
        <v>31</v>
      </c>
      <c r="L139" t="s">
        <v>31</v>
      </c>
      <c r="M139" t="s">
        <v>31</v>
      </c>
      <c r="P139" s="184">
        <f>P152</f>
        <v>7.8E-2</v>
      </c>
    </row>
    <row r="140" spans="1:18">
      <c r="A140" s="47" t="s">
        <v>683</v>
      </c>
      <c r="B140">
        <f>R140</f>
        <v>7.0000000000000001E-3</v>
      </c>
      <c r="C140" t="s">
        <v>37</v>
      </c>
      <c r="D140" t="s">
        <v>40</v>
      </c>
      <c r="E140" t="s">
        <v>29</v>
      </c>
      <c r="F140" t="s">
        <v>35</v>
      </c>
      <c r="G140" t="s">
        <v>33</v>
      </c>
      <c r="H140">
        <v>2</v>
      </c>
      <c r="I140">
        <f>LN(B140)</f>
        <v>-4.9618451299268234</v>
      </c>
      <c r="J140">
        <v>0.20928449536456342</v>
      </c>
      <c r="K140" t="s">
        <v>31</v>
      </c>
      <c r="L140" t="s">
        <v>31</v>
      </c>
      <c r="M140" t="s">
        <v>31</v>
      </c>
      <c r="O140" s="119" t="s">
        <v>575</v>
      </c>
      <c r="P140" s="120">
        <v>7</v>
      </c>
      <c r="Q140" t="s">
        <v>221</v>
      </c>
      <c r="R140">
        <f>0.001*P140</f>
        <v>7.0000000000000001E-3</v>
      </c>
    </row>
    <row r="141" spans="1:18">
      <c r="A141" s="47" t="s">
        <v>530</v>
      </c>
      <c r="B141">
        <f>R141</f>
        <v>7.0000000000000001E-3</v>
      </c>
      <c r="C141" t="s">
        <v>37</v>
      </c>
      <c r="D141" t="s">
        <v>40</v>
      </c>
      <c r="E141" t="s">
        <v>29</v>
      </c>
      <c r="F141" t="s">
        <v>35</v>
      </c>
      <c r="G141" t="s">
        <v>33</v>
      </c>
      <c r="H141">
        <v>2</v>
      </c>
      <c r="I141">
        <f>LN(B141)</f>
        <v>-4.9618451299268234</v>
      </c>
      <c r="J141">
        <v>0.20928449536456342</v>
      </c>
      <c r="K141" t="s">
        <v>31</v>
      </c>
      <c r="L141" t="s">
        <v>31</v>
      </c>
      <c r="M141" t="s">
        <v>31</v>
      </c>
      <c r="O141" s="119" t="s">
        <v>575</v>
      </c>
      <c r="P141" s="120">
        <v>7</v>
      </c>
      <c r="Q141" t="s">
        <v>221</v>
      </c>
      <c r="R141">
        <f>0.001*P141</f>
        <v>7.0000000000000001E-3</v>
      </c>
    </row>
    <row r="142" spans="1:18" s="41" customFormat="1" ht="15.75">
      <c r="A142" s="99" t="s">
        <v>5</v>
      </c>
      <c r="B142" s="185" t="s">
        <v>1878</v>
      </c>
      <c r="C142" s="39"/>
    </row>
    <row r="143" spans="1:18">
      <c r="A143" s="101" t="s">
        <v>7</v>
      </c>
      <c r="B143" t="s">
        <v>1807</v>
      </c>
      <c r="C143" s="102"/>
    </row>
    <row r="144" spans="1:18">
      <c r="A144" s="114" t="s">
        <v>9</v>
      </c>
      <c r="B144" t="s">
        <v>1879</v>
      </c>
      <c r="C144" s="102"/>
    </row>
    <row r="145" spans="1:18" ht="15.75" customHeight="1">
      <c r="A145" s="101" t="s">
        <v>11</v>
      </c>
      <c r="B145" s="103" t="s">
        <v>789</v>
      </c>
    </row>
    <row r="146" spans="1:18">
      <c r="A146" s="101" t="s">
        <v>13</v>
      </c>
      <c r="B146" t="s">
        <v>14</v>
      </c>
    </row>
    <row r="147" spans="1:18">
      <c r="A147" s="101" t="s">
        <v>15</v>
      </c>
      <c r="B147" s="115">
        <f>B152</f>
        <v>7.8E-2</v>
      </c>
    </row>
    <row r="148" spans="1:18">
      <c r="A148" s="101" t="s">
        <v>16</v>
      </c>
      <c r="B148" t="s">
        <v>17</v>
      </c>
    </row>
    <row r="149" spans="1:18">
      <c r="A149" s="101" t="s">
        <v>18</v>
      </c>
      <c r="B149" t="s">
        <v>113</v>
      </c>
    </row>
    <row r="150" spans="1:18" ht="15.75">
      <c r="A150" s="105" t="s">
        <v>19</v>
      </c>
    </row>
    <row r="151" spans="1:18" ht="15.75">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75">
      <c r="A152" s="42" t="s">
        <v>1878</v>
      </c>
      <c r="B152" s="186">
        <f>P152</f>
        <v>7.8E-2</v>
      </c>
      <c r="C152" t="s">
        <v>113</v>
      </c>
      <c r="D152" s="111" t="s">
        <v>2</v>
      </c>
      <c r="E152" t="s">
        <v>29</v>
      </c>
      <c r="F152" s="104" t="s">
        <v>14</v>
      </c>
      <c r="G152" t="s">
        <v>30</v>
      </c>
      <c r="H152">
        <v>1</v>
      </c>
      <c r="I152" s="180">
        <f>B152</f>
        <v>7.8E-2</v>
      </c>
      <c r="J152" t="s">
        <v>31</v>
      </c>
      <c r="K152" t="s">
        <v>31</v>
      </c>
      <c r="L152" t="s">
        <v>31</v>
      </c>
      <c r="M152" t="s">
        <v>31</v>
      </c>
      <c r="O152" s="187" t="s">
        <v>605</v>
      </c>
      <c r="P152" s="184">
        <v>7.8E-2</v>
      </c>
    </row>
    <row r="153" spans="1:18" ht="15.75">
      <c r="A153" t="s">
        <v>1880</v>
      </c>
      <c r="B153" s="186">
        <f t="shared" ref="B153:B156" si="9">P153</f>
        <v>2.4E-2</v>
      </c>
      <c r="C153" t="s">
        <v>113</v>
      </c>
      <c r="D153" s="111" t="s">
        <v>2</v>
      </c>
      <c r="E153" t="s">
        <v>29</v>
      </c>
      <c r="F153" s="104" t="s">
        <v>14</v>
      </c>
      <c r="G153" t="s">
        <v>33</v>
      </c>
      <c r="H153">
        <v>1</v>
      </c>
      <c r="I153" s="180">
        <f t="shared" ref="I153:I154" si="10">B153</f>
        <v>2.4E-2</v>
      </c>
      <c r="J153" t="s">
        <v>31</v>
      </c>
      <c r="K153" t="s">
        <v>31</v>
      </c>
      <c r="L153" t="s">
        <v>31</v>
      </c>
      <c r="M153" t="s">
        <v>31</v>
      </c>
      <c r="O153" s="187" t="s">
        <v>817</v>
      </c>
      <c r="P153" s="188">
        <v>2.4E-2</v>
      </c>
    </row>
    <row r="154" spans="1:18" ht="15.75">
      <c r="A154" t="s">
        <v>1881</v>
      </c>
      <c r="B154" s="186">
        <f t="shared" si="9"/>
        <v>7.8E-2</v>
      </c>
      <c r="C154" t="s">
        <v>113</v>
      </c>
      <c r="D154" s="111" t="s">
        <v>2</v>
      </c>
      <c r="E154" t="s">
        <v>29</v>
      </c>
      <c r="F154" s="104" t="s">
        <v>14</v>
      </c>
      <c r="G154" t="s">
        <v>33</v>
      </c>
      <c r="H154">
        <v>1</v>
      </c>
      <c r="I154" s="180">
        <f t="shared" si="10"/>
        <v>7.8E-2</v>
      </c>
      <c r="J154" t="s">
        <v>31</v>
      </c>
      <c r="K154" t="s">
        <v>31</v>
      </c>
      <c r="L154" t="s">
        <v>31</v>
      </c>
      <c r="M154" t="s">
        <v>31</v>
      </c>
      <c r="O154" s="143" t="s">
        <v>817</v>
      </c>
      <c r="P154" s="184">
        <v>7.8E-2</v>
      </c>
    </row>
    <row r="155" spans="1:18" ht="15.75">
      <c r="A155" s="106" t="s">
        <v>38</v>
      </c>
      <c r="B155" s="186">
        <f t="shared" si="9"/>
        <v>1.87</v>
      </c>
      <c r="C155" t="s">
        <v>39</v>
      </c>
      <c r="D155" s="17" t="s">
        <v>40</v>
      </c>
      <c r="E155" t="s">
        <v>29</v>
      </c>
      <c r="F155" s="104" t="s">
        <v>35</v>
      </c>
      <c r="G155" t="s">
        <v>33</v>
      </c>
      <c r="H155">
        <v>2</v>
      </c>
      <c r="I155">
        <f t="shared" ref="I155:I156" si="11">LN(B155)</f>
        <v>0.62593843086649537</v>
      </c>
      <c r="J155">
        <v>9.7082439194738052E-2</v>
      </c>
      <c r="K155" t="s">
        <v>31</v>
      </c>
      <c r="L155" t="s">
        <v>31</v>
      </c>
      <c r="M155" t="s">
        <v>31</v>
      </c>
      <c r="O155" s="119" t="s">
        <v>216</v>
      </c>
      <c r="P155" s="120">
        <v>1.87</v>
      </c>
      <c r="Q155" t="s">
        <v>216</v>
      </c>
      <c r="R155" s="113">
        <f>P155</f>
        <v>1.87</v>
      </c>
    </row>
    <row r="156" spans="1:18" ht="15.75">
      <c r="A156" s="106" t="s">
        <v>480</v>
      </c>
      <c r="B156" s="186">
        <f t="shared" si="9"/>
        <v>5</v>
      </c>
      <c r="C156" t="s">
        <v>37</v>
      </c>
      <c r="D156" s="17" t="s">
        <v>40</v>
      </c>
      <c r="E156" t="s">
        <v>29</v>
      </c>
      <c r="F156" s="104" t="s">
        <v>35</v>
      </c>
      <c r="G156" t="s">
        <v>33</v>
      </c>
      <c r="H156">
        <v>2</v>
      </c>
      <c r="I156">
        <f t="shared" si="11"/>
        <v>1.6094379124341003</v>
      </c>
      <c r="J156">
        <v>9.7082439194738052E-2</v>
      </c>
      <c r="K156" t="s">
        <v>31</v>
      </c>
      <c r="L156" t="s">
        <v>31</v>
      </c>
      <c r="M156" t="s">
        <v>31</v>
      </c>
      <c r="O156" s="119" t="s">
        <v>221</v>
      </c>
      <c r="P156" s="120">
        <v>5</v>
      </c>
    </row>
    <row r="157" spans="1:18" s="41" customFormat="1" ht="15.75">
      <c r="A157" s="99" t="s">
        <v>5</v>
      </c>
      <c r="B157" s="108" t="s">
        <v>1881</v>
      </c>
      <c r="C157" s="39"/>
    </row>
    <row r="158" spans="1:18">
      <c r="A158" s="101" t="s">
        <v>7</v>
      </c>
      <c r="B158" t="s">
        <v>1807</v>
      </c>
      <c r="C158" s="102"/>
    </row>
    <row r="159" spans="1:18">
      <c r="A159" s="114" t="s">
        <v>9</v>
      </c>
      <c r="B159" t="s">
        <v>1882</v>
      </c>
      <c r="C159" s="102"/>
    </row>
    <row r="160" spans="1:18" ht="15.75" customHeight="1">
      <c r="A160" s="101" t="s">
        <v>11</v>
      </c>
      <c r="B160" s="103" t="s">
        <v>789</v>
      </c>
    </row>
    <row r="161" spans="1:18">
      <c r="A161" s="101" t="s">
        <v>13</v>
      </c>
      <c r="B161" t="s">
        <v>14</v>
      </c>
    </row>
    <row r="162" spans="1:18">
      <c r="A162" s="101" t="s">
        <v>15</v>
      </c>
      <c r="B162" s="186">
        <f>B167</f>
        <v>7.8E-2</v>
      </c>
    </row>
    <row r="163" spans="1:18">
      <c r="A163" s="101" t="s">
        <v>16</v>
      </c>
      <c r="B163" t="s">
        <v>17</v>
      </c>
    </row>
    <row r="164" spans="1:18">
      <c r="A164" s="101" t="s">
        <v>18</v>
      </c>
      <c r="B164" t="s">
        <v>113</v>
      </c>
    </row>
    <row r="165" spans="1:18" ht="15.75">
      <c r="A165" s="105" t="s">
        <v>19</v>
      </c>
    </row>
    <row r="166" spans="1:18" ht="15.75">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75">
      <c r="A167" t="s">
        <v>1881</v>
      </c>
      <c r="B167" s="116">
        <f>P167</f>
        <v>7.8E-2</v>
      </c>
      <c r="C167" t="s">
        <v>113</v>
      </c>
      <c r="D167" s="111" t="s">
        <v>2</v>
      </c>
      <c r="E167" t="s">
        <v>29</v>
      </c>
      <c r="F167" s="104" t="s">
        <v>14</v>
      </c>
      <c r="G167" t="s">
        <v>30</v>
      </c>
      <c r="H167">
        <v>1</v>
      </c>
      <c r="I167" s="116">
        <f>B167</f>
        <v>7.8E-2</v>
      </c>
      <c r="J167" t="s">
        <v>31</v>
      </c>
      <c r="K167" t="s">
        <v>31</v>
      </c>
      <c r="L167" t="s">
        <v>31</v>
      </c>
      <c r="M167" t="s">
        <v>31</v>
      </c>
      <c r="P167" s="189">
        <v>7.8E-2</v>
      </c>
    </row>
    <row r="168" spans="1:18" ht="15.75">
      <c r="A168" s="42" t="s">
        <v>1883</v>
      </c>
      <c r="B168" s="116">
        <f>P168</f>
        <v>7.8E-2</v>
      </c>
      <c r="C168" t="s">
        <v>113</v>
      </c>
      <c r="D168" s="111" t="s">
        <v>2</v>
      </c>
      <c r="E168" t="s">
        <v>29</v>
      </c>
      <c r="F168" s="104" t="s">
        <v>14</v>
      </c>
      <c r="G168" t="s">
        <v>33</v>
      </c>
      <c r="H168">
        <v>1</v>
      </c>
      <c r="I168" s="116">
        <f>B168</f>
        <v>7.8E-2</v>
      </c>
      <c r="J168" t="s">
        <v>31</v>
      </c>
      <c r="K168" t="s">
        <v>31</v>
      </c>
      <c r="L168" t="s">
        <v>31</v>
      </c>
      <c r="M168" t="s">
        <v>31</v>
      </c>
      <c r="P168" s="189">
        <v>7.8E-2</v>
      </c>
    </row>
    <row r="169" spans="1:18" ht="15.75">
      <c r="A169" s="106" t="s">
        <v>38</v>
      </c>
      <c r="B169" s="113">
        <f>R169</f>
        <v>0.21</v>
      </c>
      <c r="C169" t="s">
        <v>39</v>
      </c>
      <c r="D169" s="17" t="s">
        <v>40</v>
      </c>
      <c r="E169" t="s">
        <v>29</v>
      </c>
      <c r="F169" s="104" t="s">
        <v>35</v>
      </c>
      <c r="G169" t="s">
        <v>33</v>
      </c>
      <c r="H169">
        <v>2</v>
      </c>
      <c r="I169">
        <f t="shared" ref="I169:I173" si="12">LN(B169)</f>
        <v>-1.5606477482646683</v>
      </c>
      <c r="J169">
        <v>0.20928449536456342</v>
      </c>
      <c r="K169" t="s">
        <v>31</v>
      </c>
      <c r="L169" t="s">
        <v>31</v>
      </c>
      <c r="M169" t="s">
        <v>31</v>
      </c>
      <c r="O169" s="123" t="s">
        <v>216</v>
      </c>
      <c r="P169" s="120">
        <v>0.21</v>
      </c>
      <c r="Q169" t="s">
        <v>216</v>
      </c>
      <c r="R169" s="113">
        <f>P169</f>
        <v>0.21</v>
      </c>
    </row>
    <row r="170" spans="1:18" ht="15.75">
      <c r="A170" s="47" t="s">
        <v>791</v>
      </c>
      <c r="B170">
        <f>R170</f>
        <v>6.6E-3</v>
      </c>
      <c r="C170" t="s">
        <v>37</v>
      </c>
      <c r="D170" s="17" t="s">
        <v>40</v>
      </c>
      <c r="E170" t="s">
        <v>29</v>
      </c>
      <c r="F170" s="104" t="s">
        <v>35</v>
      </c>
      <c r="G170" t="s">
        <v>33</v>
      </c>
      <c r="H170">
        <v>2</v>
      </c>
      <c r="I170">
        <f t="shared" si="12"/>
        <v>-5.0206856299497575</v>
      </c>
      <c r="J170">
        <v>0.20928449536456342</v>
      </c>
      <c r="K170" t="s">
        <v>31</v>
      </c>
      <c r="L170" t="s">
        <v>31</v>
      </c>
      <c r="M170" t="s">
        <v>31</v>
      </c>
      <c r="O170" s="119" t="s">
        <v>575</v>
      </c>
      <c r="P170" s="120">
        <v>6.6</v>
      </c>
      <c r="Q170" t="s">
        <v>221</v>
      </c>
      <c r="R170">
        <f>0.001*P170</f>
        <v>6.6E-3</v>
      </c>
    </row>
    <row r="171" spans="1:18" ht="15.75">
      <c r="A171" s="47" t="s">
        <v>546</v>
      </c>
      <c r="B171">
        <f>R171</f>
        <v>1E-3</v>
      </c>
      <c r="C171" t="s">
        <v>37</v>
      </c>
      <c r="D171" s="17" t="s">
        <v>40</v>
      </c>
      <c r="E171" t="s">
        <v>29</v>
      </c>
      <c r="F171" s="104" t="s">
        <v>58</v>
      </c>
      <c r="G171" t="s">
        <v>33</v>
      </c>
      <c r="H171">
        <v>2</v>
      </c>
      <c r="I171">
        <f t="shared" si="12"/>
        <v>-6.9077552789821368</v>
      </c>
      <c r="J171">
        <v>0.20928449536456342</v>
      </c>
      <c r="K171" t="s">
        <v>31</v>
      </c>
      <c r="L171" t="s">
        <v>31</v>
      </c>
      <c r="M171" t="s">
        <v>31</v>
      </c>
      <c r="O171" s="119" t="s">
        <v>575</v>
      </c>
      <c r="P171" s="120">
        <v>1</v>
      </c>
      <c r="Q171" t="s">
        <v>221</v>
      </c>
      <c r="R171">
        <f t="shared" ref="R171:R173" si="13">0.001*P171</f>
        <v>1E-3</v>
      </c>
    </row>
    <row r="172" spans="1:18" ht="15.75">
      <c r="A172" s="106" t="s">
        <v>792</v>
      </c>
      <c r="B172">
        <f>R172</f>
        <v>3.2600000000000004E-2</v>
      </c>
      <c r="C172" t="s">
        <v>37</v>
      </c>
      <c r="D172" s="17" t="s">
        <v>40</v>
      </c>
      <c r="E172" t="s">
        <v>29</v>
      </c>
      <c r="F172" s="104" t="s">
        <v>741</v>
      </c>
      <c r="G172" t="s">
        <v>33</v>
      </c>
      <c r="H172">
        <v>2</v>
      </c>
      <c r="I172">
        <f t="shared" si="12"/>
        <v>-3.423442990609475</v>
      </c>
      <c r="J172">
        <v>0.20928449536456342</v>
      </c>
      <c r="K172" t="s">
        <v>31</v>
      </c>
      <c r="L172" t="s">
        <v>31</v>
      </c>
      <c r="M172" t="s">
        <v>31</v>
      </c>
      <c r="O172" s="119" t="s">
        <v>575</v>
      </c>
      <c r="P172" s="120">
        <v>32.6</v>
      </c>
      <c r="Q172" t="s">
        <v>221</v>
      </c>
      <c r="R172">
        <f t="shared" si="13"/>
        <v>3.2600000000000004E-2</v>
      </c>
    </row>
    <row r="173" spans="1:18" ht="15.75">
      <c r="A173" s="17" t="s">
        <v>1808</v>
      </c>
      <c r="B173">
        <f>R173</f>
        <v>7.6E-3</v>
      </c>
      <c r="C173" t="s">
        <v>37</v>
      </c>
      <c r="D173" s="111" t="s">
        <v>2</v>
      </c>
      <c r="E173" t="s">
        <v>29</v>
      </c>
      <c r="F173" s="104" t="s">
        <v>741</v>
      </c>
      <c r="G173" t="s">
        <v>33</v>
      </c>
      <c r="H173">
        <v>2</v>
      </c>
      <c r="I173">
        <f t="shared" si="12"/>
        <v>-4.8796070316898517</v>
      </c>
      <c r="J173">
        <v>0.20928449536456342</v>
      </c>
      <c r="K173" t="s">
        <v>31</v>
      </c>
      <c r="L173" t="s">
        <v>31</v>
      </c>
      <c r="M173" t="s">
        <v>31</v>
      </c>
      <c r="O173" s="190" t="s">
        <v>575</v>
      </c>
      <c r="P173" s="155">
        <v>7.6</v>
      </c>
      <c r="Q173" t="s">
        <v>221</v>
      </c>
      <c r="R173">
        <f t="shared" si="13"/>
        <v>7.6E-3</v>
      </c>
    </row>
    <row r="174" spans="1:18" s="41" customFormat="1" ht="15.75">
      <c r="A174" s="99" t="s">
        <v>5</v>
      </c>
      <c r="B174" s="108" t="s">
        <v>1883</v>
      </c>
      <c r="C174" s="39"/>
    </row>
    <row r="175" spans="1:18">
      <c r="A175" s="101" t="s">
        <v>7</v>
      </c>
      <c r="B175" t="s">
        <v>1807</v>
      </c>
      <c r="C175" s="102"/>
    </row>
    <row r="176" spans="1:18">
      <c r="A176" s="114" t="s">
        <v>9</v>
      </c>
      <c r="B176" t="s">
        <v>1884</v>
      </c>
      <c r="C176" s="102"/>
    </row>
    <row r="177" spans="1:18" ht="15.75" customHeight="1">
      <c r="A177" s="101" t="s">
        <v>11</v>
      </c>
      <c r="B177" s="103" t="s">
        <v>789</v>
      </c>
    </row>
    <row r="178" spans="1:18">
      <c r="A178" s="101" t="s">
        <v>13</v>
      </c>
      <c r="B178" t="s">
        <v>14</v>
      </c>
    </row>
    <row r="179" spans="1:18">
      <c r="A179" s="101" t="s">
        <v>15</v>
      </c>
      <c r="B179" s="115">
        <f>B184</f>
        <v>7.8E-2</v>
      </c>
    </row>
    <row r="180" spans="1:18">
      <c r="A180" s="101" t="s">
        <v>16</v>
      </c>
      <c r="B180" t="s">
        <v>17</v>
      </c>
    </row>
    <row r="181" spans="1:18">
      <c r="A181" s="101" t="s">
        <v>18</v>
      </c>
      <c r="B181" t="s">
        <v>113</v>
      </c>
    </row>
    <row r="182" spans="1:18" ht="15.75">
      <c r="A182" s="105" t="s">
        <v>19</v>
      </c>
    </row>
    <row r="183" spans="1:18" ht="15.75">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75">
      <c r="A184" s="42" t="s">
        <v>1883</v>
      </c>
      <c r="B184" s="191">
        <f>P185</f>
        <v>7.8E-2</v>
      </c>
      <c r="C184" t="s">
        <v>113</v>
      </c>
      <c r="D184" s="111" t="s">
        <v>2</v>
      </c>
      <c r="E184" t="s">
        <v>29</v>
      </c>
      <c r="F184" s="104" t="s">
        <v>14</v>
      </c>
      <c r="G184" t="s">
        <v>30</v>
      </c>
      <c r="H184">
        <v>1</v>
      </c>
      <c r="I184" s="116">
        <f>B184</f>
        <v>7.8E-2</v>
      </c>
      <c r="J184" t="s">
        <v>31</v>
      </c>
      <c r="K184" t="s">
        <v>31</v>
      </c>
      <c r="L184" t="s">
        <v>31</v>
      </c>
      <c r="M184" t="s">
        <v>31</v>
      </c>
    </row>
    <row r="185" spans="1:18" ht="15.75">
      <c r="A185" t="s">
        <v>1885</v>
      </c>
      <c r="B185" s="192">
        <f>P185</f>
        <v>7.8E-2</v>
      </c>
      <c r="C185" t="s">
        <v>113</v>
      </c>
      <c r="D185" s="111" t="s">
        <v>2</v>
      </c>
      <c r="E185" t="s">
        <v>29</v>
      </c>
      <c r="F185" s="104" t="s">
        <v>14</v>
      </c>
      <c r="G185" t="s">
        <v>33</v>
      </c>
      <c r="H185">
        <v>1</v>
      </c>
      <c r="I185" s="116">
        <f>B185</f>
        <v>7.8E-2</v>
      </c>
      <c r="J185" t="s">
        <v>31</v>
      </c>
      <c r="K185" t="s">
        <v>31</v>
      </c>
      <c r="L185" t="s">
        <v>31</v>
      </c>
      <c r="M185" t="s">
        <v>31</v>
      </c>
      <c r="P185" s="184">
        <v>7.8E-2</v>
      </c>
    </row>
    <row r="186" spans="1:18" ht="15.75">
      <c r="A186" s="106" t="s">
        <v>38</v>
      </c>
      <c r="B186" s="113">
        <f>P186</f>
        <v>4.59</v>
      </c>
      <c r="C186" t="s">
        <v>39</v>
      </c>
      <c r="D186" s="17" t="s">
        <v>40</v>
      </c>
      <c r="E186" t="s">
        <v>29</v>
      </c>
      <c r="F186" s="104" t="s">
        <v>35</v>
      </c>
      <c r="G186" t="s">
        <v>33</v>
      </c>
      <c r="H186">
        <v>2</v>
      </c>
      <c r="I186">
        <f t="shared" ref="I186:I187" si="14">LN(B186)</f>
        <v>1.5238800240724537</v>
      </c>
      <c r="J186">
        <v>0.20928449536456342</v>
      </c>
      <c r="K186" t="s">
        <v>31</v>
      </c>
      <c r="L186" t="s">
        <v>31</v>
      </c>
      <c r="M186" t="s">
        <v>31</v>
      </c>
      <c r="O186" s="119" t="s">
        <v>216</v>
      </c>
      <c r="P186" s="120">
        <f>3.16+1.43</f>
        <v>4.59</v>
      </c>
    </row>
    <row r="187" spans="1:18" ht="15.75">
      <c r="A187" s="106" t="s">
        <v>792</v>
      </c>
      <c r="B187">
        <f>R187</f>
        <v>9.1999999999999998E-3</v>
      </c>
      <c r="C187" t="s">
        <v>37</v>
      </c>
      <c r="D187" s="17" t="s">
        <v>40</v>
      </c>
      <c r="E187" t="s">
        <v>29</v>
      </c>
      <c r="F187" s="104" t="s">
        <v>741</v>
      </c>
      <c r="G187" t="s">
        <v>33</v>
      </c>
      <c r="H187">
        <v>2</v>
      </c>
      <c r="I187">
        <f t="shared" si="14"/>
        <v>-4.6885517949271422</v>
      </c>
      <c r="J187">
        <v>0.20928449536456342</v>
      </c>
      <c r="K187" t="s">
        <v>31</v>
      </c>
      <c r="L187" t="s">
        <v>31</v>
      </c>
      <c r="M187" t="s">
        <v>31</v>
      </c>
      <c r="O187" s="119" t="s">
        <v>575</v>
      </c>
      <c r="P187" s="120">
        <v>9.1999999999999993</v>
      </c>
      <c r="Q187" t="s">
        <v>221</v>
      </c>
      <c r="R187">
        <f>P187*0.001</f>
        <v>9.1999999999999998E-3</v>
      </c>
    </row>
    <row r="188" spans="1:18">
      <c r="A188" s="47" t="s">
        <v>530</v>
      </c>
      <c r="B188">
        <f>R188</f>
        <v>1.12E-2</v>
      </c>
      <c r="C188" t="s">
        <v>37</v>
      </c>
      <c r="D188" t="s">
        <v>40</v>
      </c>
      <c r="E188" t="s">
        <v>29</v>
      </c>
      <c r="F188" t="s">
        <v>35</v>
      </c>
      <c r="G188" t="s">
        <v>33</v>
      </c>
      <c r="H188">
        <v>2</v>
      </c>
      <c r="I188">
        <f>LN(B188)</f>
        <v>-4.4918415006810886</v>
      </c>
      <c r="J188">
        <v>0.20928449536456342</v>
      </c>
      <c r="K188" t="s">
        <v>31</v>
      </c>
      <c r="L188" t="s">
        <v>31</v>
      </c>
      <c r="M188" t="s">
        <v>31</v>
      </c>
      <c r="O188" s="119" t="s">
        <v>575</v>
      </c>
      <c r="P188" s="120">
        <v>11.2</v>
      </c>
      <c r="Q188" t="s">
        <v>221</v>
      </c>
      <c r="R188">
        <f>P188*0.001</f>
        <v>1.12E-2</v>
      </c>
    </row>
    <row r="189" spans="1:18" ht="15.75">
      <c r="A189" s="17" t="s">
        <v>1808</v>
      </c>
      <c r="B189">
        <f>R189</f>
        <v>1.12E-2</v>
      </c>
      <c r="C189" t="s">
        <v>37</v>
      </c>
      <c r="D189" s="111" t="s">
        <v>2</v>
      </c>
      <c r="E189" t="s">
        <v>29</v>
      </c>
      <c r="F189" s="104" t="s">
        <v>741</v>
      </c>
      <c r="G189" t="s">
        <v>33</v>
      </c>
      <c r="H189">
        <v>2</v>
      </c>
      <c r="I189">
        <f t="shared" ref="I189" si="15">LN(B189)</f>
        <v>-4.4918415006810886</v>
      </c>
      <c r="J189">
        <v>0.20928449536456342</v>
      </c>
      <c r="K189" t="s">
        <v>31</v>
      </c>
      <c r="L189" t="s">
        <v>31</v>
      </c>
      <c r="M189" t="s">
        <v>31</v>
      </c>
      <c r="O189" s="190" t="s">
        <v>575</v>
      </c>
      <c r="P189" s="155">
        <v>11.2</v>
      </c>
      <c r="Q189" t="s">
        <v>221</v>
      </c>
      <c r="R189">
        <f t="shared" ref="R189" si="16">0.001*P189</f>
        <v>1.12E-2</v>
      </c>
    </row>
    <row r="190" spans="1:18" s="41" customFormat="1" ht="15.75">
      <c r="A190" s="99" t="s">
        <v>5</v>
      </c>
      <c r="B190" s="108" t="s">
        <v>1885</v>
      </c>
      <c r="C190" s="39"/>
    </row>
    <row r="191" spans="1:18">
      <c r="A191" s="101" t="s">
        <v>7</v>
      </c>
      <c r="B191" t="s">
        <v>1807</v>
      </c>
      <c r="C191" s="102"/>
    </row>
    <row r="192" spans="1:18">
      <c r="A192" s="114" t="s">
        <v>9</v>
      </c>
      <c r="B192" t="s">
        <v>1886</v>
      </c>
      <c r="C192" s="102"/>
    </row>
    <row r="193" spans="1:21" ht="15.75" customHeight="1">
      <c r="A193" s="101" t="s">
        <v>11</v>
      </c>
      <c r="B193" s="103" t="s">
        <v>789</v>
      </c>
    </row>
    <row r="194" spans="1:21">
      <c r="A194" s="101" t="s">
        <v>13</v>
      </c>
      <c r="B194" t="s">
        <v>14</v>
      </c>
      <c r="R194" s="159" t="s">
        <v>880</v>
      </c>
    </row>
    <row r="195" spans="1:21">
      <c r="A195" s="101" t="s">
        <v>15</v>
      </c>
      <c r="B195" s="115">
        <f>B200</f>
        <v>0.83</v>
      </c>
      <c r="R195" t="s">
        <v>881</v>
      </c>
      <c r="S195">
        <v>8900</v>
      </c>
      <c r="T195" t="s">
        <v>882</v>
      </c>
    </row>
    <row r="196" spans="1:21">
      <c r="A196" s="101" t="s">
        <v>16</v>
      </c>
      <c r="B196" t="s">
        <v>17</v>
      </c>
      <c r="R196" t="s">
        <v>883</v>
      </c>
      <c r="S196">
        <f>5*10^-6</f>
        <v>4.9999999999999996E-6</v>
      </c>
      <c r="T196" t="s">
        <v>884</v>
      </c>
    </row>
    <row r="197" spans="1:21">
      <c r="A197" s="101" t="s">
        <v>18</v>
      </c>
      <c r="B197" t="s">
        <v>113</v>
      </c>
      <c r="R197" s="162" t="s">
        <v>885</v>
      </c>
      <c r="S197" s="163">
        <f>S196*S195</f>
        <v>4.4499999999999998E-2</v>
      </c>
      <c r="T197" s="164" t="s">
        <v>886</v>
      </c>
    </row>
    <row r="198" spans="1:21" ht="15.75">
      <c r="A198" s="105" t="s">
        <v>19</v>
      </c>
    </row>
    <row r="199" spans="1:21" ht="15.75">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548</v>
      </c>
      <c r="U199" s="150"/>
    </row>
    <row r="200" spans="1:21" ht="15.75">
      <c r="A200" t="s">
        <v>1885</v>
      </c>
      <c r="B200" s="182">
        <v>0.83</v>
      </c>
      <c r="C200" t="s">
        <v>113</v>
      </c>
      <c r="D200" s="111" t="s">
        <v>2</v>
      </c>
      <c r="E200" t="s">
        <v>29</v>
      </c>
      <c r="F200" t="s">
        <v>14</v>
      </c>
      <c r="G200" t="s">
        <v>30</v>
      </c>
      <c r="H200">
        <v>1</v>
      </c>
      <c r="I200">
        <f>B200</f>
        <v>0.83</v>
      </c>
      <c r="J200" t="s">
        <v>31</v>
      </c>
      <c r="K200" t="s">
        <v>31</v>
      </c>
      <c r="L200" t="s">
        <v>31</v>
      </c>
      <c r="M200" t="s">
        <v>31</v>
      </c>
      <c r="O200" s="193" t="s">
        <v>887</v>
      </c>
      <c r="P200" s="161">
        <f>B200*100</f>
        <v>83</v>
      </c>
      <c r="R200" s="166">
        <v>0.94</v>
      </c>
      <c r="S200" s="167" t="s">
        <v>605</v>
      </c>
      <c r="T200" s="166">
        <f>R200*S197</f>
        <v>4.1829999999999992E-2</v>
      </c>
      <c r="U200" s="167" t="s">
        <v>221</v>
      </c>
    </row>
    <row r="201" spans="1:21" ht="15.75">
      <c r="A201" t="s">
        <v>1887</v>
      </c>
      <c r="B201" s="182">
        <v>0.83</v>
      </c>
      <c r="C201" t="s">
        <v>113</v>
      </c>
      <c r="D201" s="111" t="s">
        <v>2</v>
      </c>
      <c r="E201" t="s">
        <v>29</v>
      </c>
      <c r="F201" t="s">
        <v>14</v>
      </c>
      <c r="G201" t="s">
        <v>33</v>
      </c>
      <c r="H201">
        <v>1</v>
      </c>
      <c r="I201">
        <f t="shared" ref="I201:I202" si="17">B201</f>
        <v>0.83</v>
      </c>
      <c r="J201">
        <v>7.2284161474004766E-2</v>
      </c>
      <c r="K201" t="s">
        <v>31</v>
      </c>
      <c r="L201" t="s">
        <v>31</v>
      </c>
      <c r="M201" t="s">
        <v>31</v>
      </c>
      <c r="O201" s="119" t="s">
        <v>887</v>
      </c>
      <c r="P201" s="120">
        <f>B201*100</f>
        <v>83</v>
      </c>
    </row>
    <row r="202" spans="1:21" ht="15.75">
      <c r="A202" s="42" t="s">
        <v>1846</v>
      </c>
      <c r="B202" s="157">
        <f>T200</f>
        <v>4.1829999999999992E-2</v>
      </c>
      <c r="C202" t="s">
        <v>37</v>
      </c>
      <c r="D202" s="111" t="s">
        <v>2</v>
      </c>
      <c r="E202" t="s">
        <v>29</v>
      </c>
      <c r="F202" s="104" t="s">
        <v>14</v>
      </c>
      <c r="G202" t="s">
        <v>33</v>
      </c>
      <c r="H202">
        <v>1</v>
      </c>
      <c r="I202">
        <f t="shared" si="17"/>
        <v>4.1829999999999992E-2</v>
      </c>
      <c r="J202">
        <v>7.2284161474004766E-2</v>
      </c>
      <c r="K202" t="s">
        <v>31</v>
      </c>
      <c r="L202" t="s">
        <v>31</v>
      </c>
      <c r="M202" t="s">
        <v>31</v>
      </c>
      <c r="O202" s="42"/>
      <c r="P202" s="112"/>
    </row>
    <row r="203" spans="1:21" ht="15.75">
      <c r="A203" s="106" t="s">
        <v>792</v>
      </c>
      <c r="B203">
        <f>P203</f>
        <v>7.5</v>
      </c>
      <c r="C203" t="s">
        <v>37</v>
      </c>
      <c r="D203" s="17" t="s">
        <v>40</v>
      </c>
      <c r="E203" t="s">
        <v>29</v>
      </c>
      <c r="F203" s="104" t="s">
        <v>741</v>
      </c>
      <c r="G203" t="s">
        <v>33</v>
      </c>
      <c r="H203">
        <v>2</v>
      </c>
      <c r="I203">
        <f t="shared" ref="I203" si="18">LN(B203)</f>
        <v>2.0149030205422647</v>
      </c>
      <c r="J203">
        <v>7.2284161474004766E-2</v>
      </c>
      <c r="K203" t="s">
        <v>31</v>
      </c>
      <c r="L203" t="s">
        <v>31</v>
      </c>
      <c r="M203" t="s">
        <v>31</v>
      </c>
      <c r="O203" s="119" t="s">
        <v>221</v>
      </c>
      <c r="P203" s="120">
        <v>7.5</v>
      </c>
    </row>
    <row r="204" spans="1:21" ht="15.75">
      <c r="A204" s="47" t="s">
        <v>869</v>
      </c>
      <c r="B204" s="194">
        <f>R204</f>
        <v>3.9999999999999998E-7</v>
      </c>
      <c r="C204" t="s">
        <v>37</v>
      </c>
      <c r="D204" s="17" t="s">
        <v>40</v>
      </c>
      <c r="E204" t="s">
        <v>29</v>
      </c>
      <c r="F204" s="104" t="s">
        <v>58</v>
      </c>
      <c r="G204" t="s">
        <v>33</v>
      </c>
      <c r="H204">
        <v>2</v>
      </c>
      <c r="I204">
        <f>LN(B204)</f>
        <v>-14.73180128983843</v>
      </c>
      <c r="J204">
        <v>7.2284161474004766E-2</v>
      </c>
      <c r="K204" t="s">
        <v>31</v>
      </c>
      <c r="L204" t="s">
        <v>31</v>
      </c>
      <c r="M204" t="s">
        <v>31</v>
      </c>
      <c r="O204" s="152" t="s">
        <v>523</v>
      </c>
      <c r="P204" s="168">
        <v>0.4</v>
      </c>
      <c r="Q204" t="s">
        <v>221</v>
      </c>
      <c r="R204">
        <f>0.000001*P204</f>
        <v>3.9999999999999998E-7</v>
      </c>
    </row>
    <row r="205" spans="1:21" ht="15.75">
      <c r="A205" s="47" t="s">
        <v>226</v>
      </c>
      <c r="B205" s="194">
        <f>R205</f>
        <v>7.4999999999999997E-3</v>
      </c>
      <c r="C205" t="s">
        <v>42</v>
      </c>
      <c r="D205" s="17" t="s">
        <v>40</v>
      </c>
      <c r="E205" t="s">
        <v>29</v>
      </c>
      <c r="F205" s="104" t="s">
        <v>741</v>
      </c>
      <c r="G205" t="s">
        <v>33</v>
      </c>
      <c r="H205">
        <v>2</v>
      </c>
      <c r="I205">
        <f t="shared" ref="I205" si="19">LN(B205)</f>
        <v>-4.8928522584398726</v>
      </c>
      <c r="J205">
        <v>7.2284161474004766E-2</v>
      </c>
      <c r="K205" t="s">
        <v>31</v>
      </c>
      <c r="L205" t="s">
        <v>31</v>
      </c>
      <c r="M205" t="s">
        <v>31</v>
      </c>
      <c r="O205" s="154" t="s">
        <v>858</v>
      </c>
      <c r="P205" s="155">
        <v>7.5</v>
      </c>
      <c r="Q205" t="s">
        <v>219</v>
      </c>
      <c r="R205">
        <f>0.001*P205</f>
        <v>7.4999999999999997E-3</v>
      </c>
    </row>
    <row r="206" spans="1:21" s="41" customFormat="1" ht="15.75">
      <c r="A206" s="99" t="s">
        <v>5</v>
      </c>
      <c r="B206" s="108" t="s">
        <v>1887</v>
      </c>
      <c r="C206" s="39"/>
    </row>
    <row r="207" spans="1:21">
      <c r="A207" s="101" t="s">
        <v>7</v>
      </c>
      <c r="B207" t="s">
        <v>1807</v>
      </c>
      <c r="C207" s="102"/>
    </row>
    <row r="208" spans="1:21">
      <c r="A208" s="114" t="s">
        <v>9</v>
      </c>
      <c r="B208" t="s">
        <v>1888</v>
      </c>
      <c r="C208" s="102"/>
    </row>
    <row r="209" spans="1:19" ht="15.75" customHeight="1">
      <c r="A209" s="101" t="s">
        <v>11</v>
      </c>
      <c r="B209" s="103" t="s">
        <v>789</v>
      </c>
    </row>
    <row r="210" spans="1:19">
      <c r="A210" s="101" t="s">
        <v>13</v>
      </c>
      <c r="B210" t="s">
        <v>14</v>
      </c>
    </row>
    <row r="211" spans="1:19">
      <c r="A211" s="101" t="s">
        <v>15</v>
      </c>
      <c r="B211" s="115">
        <f>B216</f>
        <v>0.83</v>
      </c>
    </row>
    <row r="212" spans="1:19">
      <c r="A212" s="101" t="s">
        <v>16</v>
      </c>
      <c r="B212" t="s">
        <v>17</v>
      </c>
    </row>
    <row r="213" spans="1:19">
      <c r="A213" s="101" t="s">
        <v>18</v>
      </c>
      <c r="B213" t="s">
        <v>113</v>
      </c>
      <c r="S213" s="116"/>
    </row>
    <row r="214" spans="1:19" ht="15.75">
      <c r="A214" s="105" t="s">
        <v>19</v>
      </c>
    </row>
    <row r="215" spans="1:19" ht="15.75">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75">
      <c r="A216" t="s">
        <v>1887</v>
      </c>
      <c r="B216" s="116">
        <f>P216</f>
        <v>0.83</v>
      </c>
      <c r="C216" t="s">
        <v>113</v>
      </c>
      <c r="D216" s="111" t="s">
        <v>2</v>
      </c>
      <c r="E216" t="s">
        <v>29</v>
      </c>
      <c r="F216" t="s">
        <v>14</v>
      </c>
      <c r="G216" t="s">
        <v>30</v>
      </c>
      <c r="H216">
        <v>1</v>
      </c>
      <c r="I216" s="116">
        <f>B216</f>
        <v>0.83</v>
      </c>
      <c r="J216" t="s">
        <v>31</v>
      </c>
      <c r="K216" t="s">
        <v>31</v>
      </c>
      <c r="L216" t="s">
        <v>31</v>
      </c>
      <c r="M216" t="s">
        <v>31</v>
      </c>
      <c r="O216" s="119" t="s">
        <v>605</v>
      </c>
      <c r="P216" s="182">
        <v>0.83</v>
      </c>
    </row>
    <row r="217" spans="1:19" ht="15.75">
      <c r="A217" t="s">
        <v>1815</v>
      </c>
      <c r="B217" s="116">
        <v>5.63</v>
      </c>
      <c r="C217" t="s">
        <v>37</v>
      </c>
      <c r="D217" s="111" t="s">
        <v>2</v>
      </c>
      <c r="E217" t="s">
        <v>29</v>
      </c>
      <c r="F217" t="s">
        <v>14</v>
      </c>
      <c r="G217" t="s">
        <v>33</v>
      </c>
      <c r="H217">
        <v>1</v>
      </c>
      <c r="I217" s="116">
        <f>B217</f>
        <v>5.63</v>
      </c>
      <c r="J217" t="s">
        <v>31</v>
      </c>
      <c r="K217" t="s">
        <v>31</v>
      </c>
      <c r="L217" t="s">
        <v>31</v>
      </c>
      <c r="M217" t="s">
        <v>31</v>
      </c>
      <c r="O217" s="117"/>
      <c r="P217" s="182">
        <v>0.83</v>
      </c>
      <c r="Q217" t="s">
        <v>1889</v>
      </c>
    </row>
    <row r="218" spans="1:19" ht="15.75">
      <c r="A218" s="106" t="s">
        <v>38</v>
      </c>
      <c r="B218" s="113">
        <f>P218</f>
        <v>0.42</v>
      </c>
      <c r="C218" t="s">
        <v>39</v>
      </c>
      <c r="D218" s="17" t="s">
        <v>40</v>
      </c>
      <c r="E218" t="s">
        <v>29</v>
      </c>
      <c r="F218" s="104" t="s">
        <v>35</v>
      </c>
      <c r="G218" t="s">
        <v>33</v>
      </c>
      <c r="H218">
        <v>2</v>
      </c>
      <c r="I218">
        <f t="shared" ref="I218:I219" si="20">LN(B218)</f>
        <v>-0.86750056770472306</v>
      </c>
      <c r="J218">
        <v>7.2284161474004766E-2</v>
      </c>
      <c r="K218" t="s">
        <v>31</v>
      </c>
      <c r="L218" t="s">
        <v>31</v>
      </c>
      <c r="M218" t="s">
        <v>31</v>
      </c>
      <c r="O218" s="119" t="s">
        <v>216</v>
      </c>
      <c r="P218" s="120">
        <v>0.42</v>
      </c>
    </row>
    <row r="219" spans="1:19" ht="15.75">
      <c r="A219" s="47" t="s">
        <v>547</v>
      </c>
      <c r="B219">
        <f>R219</f>
        <v>0.01</v>
      </c>
      <c r="C219" s="116" t="s">
        <v>37</v>
      </c>
      <c r="D219" s="17" t="s">
        <v>40</v>
      </c>
      <c r="E219" t="s">
        <v>29</v>
      </c>
      <c r="F219" t="s">
        <v>58</v>
      </c>
      <c r="G219" t="s">
        <v>33</v>
      </c>
      <c r="H219">
        <v>2</v>
      </c>
      <c r="I219">
        <f t="shared" si="20"/>
        <v>-4.6051701859880909</v>
      </c>
      <c r="J219">
        <v>7.2284161474004766E-2</v>
      </c>
      <c r="K219" t="s">
        <v>31</v>
      </c>
      <c r="L219" t="s">
        <v>31</v>
      </c>
      <c r="M219" t="s">
        <v>31</v>
      </c>
      <c r="O219" s="119" t="s">
        <v>575</v>
      </c>
      <c r="P219" s="120">
        <v>10</v>
      </c>
      <c r="Q219" t="s">
        <v>221</v>
      </c>
      <c r="R219">
        <f>P219*0.001</f>
        <v>0.01</v>
      </c>
    </row>
    <row r="220" spans="1:19" ht="15.75">
      <c r="A220" s="61" t="s">
        <v>866</v>
      </c>
      <c r="B220">
        <f t="shared" ref="B220:B221" si="21">R220</f>
        <v>1.8000000000000002E-2</v>
      </c>
      <c r="C220" t="s">
        <v>37</v>
      </c>
      <c r="D220" s="17" t="s">
        <v>40</v>
      </c>
      <c r="E220" t="s">
        <v>29</v>
      </c>
      <c r="F220" s="104" t="s">
        <v>35</v>
      </c>
      <c r="G220" t="s">
        <v>33</v>
      </c>
      <c r="H220">
        <v>2</v>
      </c>
      <c r="I220">
        <f>LN(B220)</f>
        <v>-4.0173835210859723</v>
      </c>
      <c r="J220">
        <v>7.2284161474004766E-2</v>
      </c>
      <c r="K220" t="s">
        <v>31</v>
      </c>
      <c r="L220" t="s">
        <v>31</v>
      </c>
      <c r="M220" t="s">
        <v>31</v>
      </c>
      <c r="O220" s="119" t="s">
        <v>575</v>
      </c>
      <c r="P220" s="120">
        <v>18</v>
      </c>
      <c r="Q220" t="s">
        <v>221</v>
      </c>
      <c r="R220">
        <f>P220*0.001</f>
        <v>1.8000000000000002E-2</v>
      </c>
    </row>
    <row r="221" spans="1:19" ht="15.75">
      <c r="A221" s="106" t="s">
        <v>792</v>
      </c>
      <c r="B221">
        <f t="shared" si="21"/>
        <v>15.8</v>
      </c>
      <c r="C221" t="s">
        <v>37</v>
      </c>
      <c r="D221" s="17" t="s">
        <v>40</v>
      </c>
      <c r="E221" t="s">
        <v>29</v>
      </c>
      <c r="F221" s="104" t="s">
        <v>741</v>
      </c>
      <c r="G221" t="s">
        <v>33</v>
      </c>
      <c r="H221">
        <v>2</v>
      </c>
      <c r="I221">
        <f t="shared" ref="I221:I222" si="22">LN(B221)</f>
        <v>2.760009940032921</v>
      </c>
      <c r="J221">
        <v>7.2284161474004766E-2</v>
      </c>
      <c r="K221" t="s">
        <v>31</v>
      </c>
      <c r="L221" t="s">
        <v>31</v>
      </c>
      <c r="M221" t="s">
        <v>31</v>
      </c>
      <c r="O221" s="119" t="s">
        <v>221</v>
      </c>
      <c r="P221" s="120">
        <v>15.8</v>
      </c>
      <c r="Q221" t="s">
        <v>221</v>
      </c>
      <c r="R221">
        <f>P221</f>
        <v>15.8</v>
      </c>
    </row>
    <row r="222" spans="1:19" ht="15.75">
      <c r="A222" s="47" t="s">
        <v>226</v>
      </c>
      <c r="B222">
        <f>R222</f>
        <v>1.5800000000000002E-2</v>
      </c>
      <c r="C222" t="s">
        <v>42</v>
      </c>
      <c r="D222" s="17" t="s">
        <v>40</v>
      </c>
      <c r="E222" t="s">
        <v>29</v>
      </c>
      <c r="F222" s="104" t="s">
        <v>741</v>
      </c>
      <c r="G222" t="s">
        <v>33</v>
      </c>
      <c r="H222">
        <v>2</v>
      </c>
      <c r="I222">
        <f t="shared" si="22"/>
        <v>-4.1477453389492158</v>
      </c>
      <c r="J222">
        <v>7.2284161474004766E-2</v>
      </c>
      <c r="K222" t="s">
        <v>31</v>
      </c>
      <c r="L222" t="s">
        <v>31</v>
      </c>
      <c r="M222" t="s">
        <v>31</v>
      </c>
      <c r="O222" s="154" t="s">
        <v>858</v>
      </c>
      <c r="P222" s="155">
        <v>15.8</v>
      </c>
      <c r="Q222" t="s">
        <v>219</v>
      </c>
      <c r="R222">
        <f>0.001*P222</f>
        <v>1.5800000000000002E-2</v>
      </c>
    </row>
    <row r="223" spans="1:19" s="41" customFormat="1" ht="15.75">
      <c r="A223" s="99" t="s">
        <v>5</v>
      </c>
      <c r="B223" s="185" t="s">
        <v>1880</v>
      </c>
      <c r="C223" s="39"/>
      <c r="P223"/>
    </row>
    <row r="224" spans="1:19">
      <c r="A224" s="101" t="s">
        <v>7</v>
      </c>
      <c r="B224" t="s">
        <v>1807</v>
      </c>
      <c r="C224" s="102"/>
    </row>
    <row r="225" spans="1:16">
      <c r="A225" s="114" t="s">
        <v>9</v>
      </c>
      <c r="B225" t="s">
        <v>1890</v>
      </c>
      <c r="C225" s="102"/>
    </row>
    <row r="226" spans="1:16" ht="15.75" customHeight="1">
      <c r="A226" s="101" t="s">
        <v>11</v>
      </c>
      <c r="B226" s="103" t="s">
        <v>789</v>
      </c>
    </row>
    <row r="227" spans="1:16">
      <c r="A227" s="101" t="s">
        <v>13</v>
      </c>
      <c r="B227" t="s">
        <v>14</v>
      </c>
    </row>
    <row r="228" spans="1:16">
      <c r="A228" s="101" t="s">
        <v>15</v>
      </c>
      <c r="B228" s="115">
        <f>B233</f>
        <v>2.4E-2</v>
      </c>
    </row>
    <row r="229" spans="1:16">
      <c r="A229" s="101" t="s">
        <v>16</v>
      </c>
      <c r="B229" t="s">
        <v>17</v>
      </c>
    </row>
    <row r="230" spans="1:16">
      <c r="A230" s="101" t="s">
        <v>18</v>
      </c>
      <c r="B230" t="s">
        <v>113</v>
      </c>
    </row>
    <row r="231" spans="1:16" ht="15.75">
      <c r="A231" s="105" t="s">
        <v>19</v>
      </c>
    </row>
    <row r="232" spans="1:16" ht="15.75">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75">
      <c r="A233" t="s">
        <v>1880</v>
      </c>
      <c r="B233" s="116">
        <f>P233</f>
        <v>2.4E-2</v>
      </c>
      <c r="C233" t="s">
        <v>113</v>
      </c>
      <c r="D233" s="111" t="s">
        <v>2</v>
      </c>
      <c r="E233" t="s">
        <v>29</v>
      </c>
      <c r="F233" s="104" t="s">
        <v>14</v>
      </c>
      <c r="G233" t="s">
        <v>30</v>
      </c>
      <c r="H233">
        <v>1</v>
      </c>
      <c r="I233" s="116">
        <f t="shared" ref="I233:I235" si="23">B233</f>
        <v>2.4E-2</v>
      </c>
      <c r="J233" t="s">
        <v>31</v>
      </c>
      <c r="K233" t="s">
        <v>31</v>
      </c>
      <c r="L233" t="s">
        <v>31</v>
      </c>
      <c r="M233" t="s">
        <v>31</v>
      </c>
      <c r="O233" s="187" t="s">
        <v>817</v>
      </c>
      <c r="P233" s="184">
        <f>P234</f>
        <v>2.4E-2</v>
      </c>
    </row>
    <row r="234" spans="1:16" ht="15.75">
      <c r="A234" t="s">
        <v>1891</v>
      </c>
      <c r="B234" s="116">
        <f>B254</f>
        <v>2.4E-2</v>
      </c>
      <c r="C234" t="s">
        <v>113</v>
      </c>
      <c r="D234" s="111" t="s">
        <v>2</v>
      </c>
      <c r="E234" t="s">
        <v>29</v>
      </c>
      <c r="F234" s="104" t="s">
        <v>14</v>
      </c>
      <c r="G234" t="s">
        <v>33</v>
      </c>
      <c r="H234">
        <v>1</v>
      </c>
      <c r="I234" s="116">
        <f t="shared" si="23"/>
        <v>2.4E-2</v>
      </c>
      <c r="J234" t="s">
        <v>31</v>
      </c>
      <c r="K234" t="s">
        <v>31</v>
      </c>
      <c r="L234" t="s">
        <v>31</v>
      </c>
      <c r="M234" t="s">
        <v>31</v>
      </c>
      <c r="O234" s="187" t="s">
        <v>817</v>
      </c>
      <c r="P234" s="188">
        <f>B254</f>
        <v>2.4E-2</v>
      </c>
    </row>
    <row r="235" spans="1:16" ht="15.75">
      <c r="A235" t="s">
        <v>1892</v>
      </c>
      <c r="B235" s="116">
        <f>B242</f>
        <v>4.13E-3</v>
      </c>
      <c r="C235" t="s">
        <v>113</v>
      </c>
      <c r="D235" s="111" t="s">
        <v>2</v>
      </c>
      <c r="E235" t="s">
        <v>29</v>
      </c>
      <c r="F235" s="104" t="s">
        <v>14</v>
      </c>
      <c r="G235" t="s">
        <v>33</v>
      </c>
      <c r="H235">
        <v>1</v>
      </c>
      <c r="I235" s="116">
        <f t="shared" si="23"/>
        <v>4.13E-3</v>
      </c>
      <c r="J235" t="s">
        <v>31</v>
      </c>
      <c r="K235" t="s">
        <v>31</v>
      </c>
      <c r="L235" t="s">
        <v>31</v>
      </c>
      <c r="M235" t="s">
        <v>31</v>
      </c>
      <c r="O235" s="143" t="s">
        <v>817</v>
      </c>
      <c r="P235" s="184">
        <f>B242</f>
        <v>4.13E-3</v>
      </c>
    </row>
    <row r="236" spans="1:16" ht="15.75">
      <c r="A236" s="106" t="s">
        <v>38</v>
      </c>
      <c r="B236" s="116">
        <f>P236</f>
        <v>0.56999999999999995</v>
      </c>
      <c r="C236" t="s">
        <v>39</v>
      </c>
      <c r="D236" s="17" t="s">
        <v>40</v>
      </c>
      <c r="E236" t="s">
        <v>29</v>
      </c>
      <c r="F236" s="104" t="s">
        <v>35</v>
      </c>
      <c r="G236" t="s">
        <v>33</v>
      </c>
      <c r="H236">
        <v>2</v>
      </c>
      <c r="I236">
        <f t="shared" ref="I236" si="24">LN(B236)</f>
        <v>-0.56211891815354131</v>
      </c>
      <c r="J236">
        <v>0.20928449536456342</v>
      </c>
      <c r="K236" t="s">
        <v>31</v>
      </c>
      <c r="L236" t="s">
        <v>31</v>
      </c>
      <c r="M236" t="s">
        <v>31</v>
      </c>
      <c r="O236" s="119" t="s">
        <v>216</v>
      </c>
      <c r="P236" s="120">
        <v>0.56999999999999995</v>
      </c>
    </row>
    <row r="237" spans="1:16" s="41" customFormat="1" ht="15.75">
      <c r="A237" s="99" t="s">
        <v>5</v>
      </c>
      <c r="B237" s="185" t="s">
        <v>1892</v>
      </c>
      <c r="C237" s="39"/>
    </row>
    <row r="238" spans="1:16">
      <c r="A238" s="101" t="s">
        <v>7</v>
      </c>
      <c r="B238" t="s">
        <v>1807</v>
      </c>
      <c r="C238" s="102"/>
    </row>
    <row r="239" spans="1:16">
      <c r="A239" s="114" t="s">
        <v>9</v>
      </c>
      <c r="B239" t="s">
        <v>1893</v>
      </c>
      <c r="C239" s="102"/>
    </row>
    <row r="240" spans="1:16" ht="15.75" customHeight="1">
      <c r="A240" s="101" t="s">
        <v>11</v>
      </c>
      <c r="B240" s="103" t="s">
        <v>789</v>
      </c>
    </row>
    <row r="241" spans="1:19">
      <c r="A241" s="101" t="s">
        <v>13</v>
      </c>
      <c r="B241" t="s">
        <v>14</v>
      </c>
    </row>
    <row r="242" spans="1:19">
      <c r="A242" s="101" t="s">
        <v>15</v>
      </c>
      <c r="B242" s="116">
        <f>B247</f>
        <v>4.13E-3</v>
      </c>
    </row>
    <row r="243" spans="1:19">
      <c r="A243" s="101" t="s">
        <v>16</v>
      </c>
      <c r="B243" t="s">
        <v>17</v>
      </c>
    </row>
    <row r="244" spans="1:19">
      <c r="A244" s="101" t="s">
        <v>18</v>
      </c>
      <c r="B244" t="s">
        <v>113</v>
      </c>
    </row>
    <row r="245" spans="1:19" ht="15.75">
      <c r="A245" s="105" t="s">
        <v>19</v>
      </c>
    </row>
    <row r="246" spans="1:19" ht="15.75">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75">
      <c r="A247" t="s">
        <v>1892</v>
      </c>
      <c r="B247" s="116">
        <f>S247</f>
        <v>4.13E-3</v>
      </c>
      <c r="C247" t="s">
        <v>113</v>
      </c>
      <c r="D247" s="111" t="s">
        <v>2</v>
      </c>
      <c r="E247" t="s">
        <v>29</v>
      </c>
      <c r="F247" s="104" t="s">
        <v>14</v>
      </c>
      <c r="G247" t="s">
        <v>30</v>
      </c>
      <c r="H247">
        <v>1</v>
      </c>
      <c r="I247" s="116">
        <f>B247</f>
        <v>4.13E-3</v>
      </c>
      <c r="J247" t="s">
        <v>31</v>
      </c>
      <c r="K247" t="s">
        <v>31</v>
      </c>
      <c r="L247" t="s">
        <v>31</v>
      </c>
      <c r="M247" t="s">
        <v>31</v>
      </c>
      <c r="P247" s="119" t="s">
        <v>1120</v>
      </c>
      <c r="Q247" s="182">
        <v>41.3</v>
      </c>
      <c r="R247" t="s">
        <v>605</v>
      </c>
      <c r="S247">
        <f>Q247*0.0001</f>
        <v>4.13E-3</v>
      </c>
    </row>
    <row r="248" spans="1:19">
      <c r="A248" s="47" t="s">
        <v>942</v>
      </c>
      <c r="B248" s="116">
        <f>S248</f>
        <v>4.13E-3</v>
      </c>
      <c r="C248" t="s">
        <v>113</v>
      </c>
      <c r="D248" t="s">
        <v>40</v>
      </c>
      <c r="E248" t="s">
        <v>29</v>
      </c>
      <c r="F248" t="s">
        <v>58</v>
      </c>
      <c r="G248" t="s">
        <v>33</v>
      </c>
      <c r="H248">
        <v>2</v>
      </c>
      <c r="I248">
        <f>LN(B248)</f>
        <v>-5.4894778720091955</v>
      </c>
      <c r="J248">
        <v>3.7749172176353707E-2</v>
      </c>
      <c r="K248" t="s">
        <v>31</v>
      </c>
      <c r="L248" t="s">
        <v>31</v>
      </c>
      <c r="M248" t="s">
        <v>31</v>
      </c>
      <c r="P248" s="143" t="s">
        <v>1120</v>
      </c>
      <c r="Q248" s="182">
        <v>41.3</v>
      </c>
      <c r="R248" t="s">
        <v>605</v>
      </c>
      <c r="S248">
        <f>Q248*0.0001</f>
        <v>4.13E-3</v>
      </c>
    </row>
    <row r="249" spans="1:19" s="41" customFormat="1" ht="15.75">
      <c r="A249" s="99" t="s">
        <v>5</v>
      </c>
      <c r="B249" s="108" t="s">
        <v>1891</v>
      </c>
    </row>
    <row r="250" spans="1:19">
      <c r="A250" s="101" t="s">
        <v>7</v>
      </c>
      <c r="B250" t="s">
        <v>1807</v>
      </c>
      <c r="C250" s="102"/>
    </row>
    <row r="251" spans="1:19">
      <c r="A251" s="114" t="s">
        <v>9</v>
      </c>
      <c r="B251" t="s">
        <v>1894</v>
      </c>
      <c r="C251" s="102"/>
    </row>
    <row r="252" spans="1:19" ht="15.75" customHeight="1">
      <c r="A252" s="101" t="s">
        <v>11</v>
      </c>
      <c r="B252" s="103" t="s">
        <v>789</v>
      </c>
    </row>
    <row r="253" spans="1:19">
      <c r="A253" s="101" t="s">
        <v>13</v>
      </c>
      <c r="B253" t="s">
        <v>14</v>
      </c>
    </row>
    <row r="254" spans="1:19">
      <c r="A254" s="101" t="s">
        <v>15</v>
      </c>
      <c r="B254" s="116">
        <f>B259</f>
        <v>2.4E-2</v>
      </c>
    </row>
    <row r="255" spans="1:19">
      <c r="A255" s="101" t="s">
        <v>16</v>
      </c>
      <c r="B255" t="s">
        <v>17</v>
      </c>
    </row>
    <row r="256" spans="1:19">
      <c r="A256" s="101" t="s">
        <v>18</v>
      </c>
      <c r="B256" t="s">
        <v>113</v>
      </c>
    </row>
    <row r="257" spans="1:18" ht="15.75">
      <c r="A257" s="105" t="s">
        <v>19</v>
      </c>
    </row>
    <row r="258" spans="1:18" ht="15.75">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75">
      <c r="A259" t="s">
        <v>1891</v>
      </c>
      <c r="B259" s="116">
        <f>B260</f>
        <v>2.4E-2</v>
      </c>
      <c r="C259" t="s">
        <v>113</v>
      </c>
      <c r="D259" s="111" t="s">
        <v>2</v>
      </c>
      <c r="E259" t="s">
        <v>29</v>
      </c>
      <c r="F259" s="104" t="s">
        <v>14</v>
      </c>
      <c r="G259" t="s">
        <v>30</v>
      </c>
      <c r="H259">
        <v>1</v>
      </c>
      <c r="I259" s="116">
        <f t="shared" ref="I259:I260" si="25">B259</f>
        <v>2.4E-2</v>
      </c>
      <c r="J259" t="s">
        <v>31</v>
      </c>
      <c r="K259" t="s">
        <v>31</v>
      </c>
      <c r="L259" t="s">
        <v>31</v>
      </c>
      <c r="M259" t="s">
        <v>31</v>
      </c>
    </row>
    <row r="260" spans="1:18" ht="15.75">
      <c r="A260" t="s">
        <v>1895</v>
      </c>
      <c r="B260" s="116">
        <f>P260</f>
        <v>2.4E-2</v>
      </c>
      <c r="C260" t="s">
        <v>113</v>
      </c>
      <c r="D260" s="111" t="s">
        <v>2</v>
      </c>
      <c r="E260" t="s">
        <v>29</v>
      </c>
      <c r="F260" t="s">
        <v>14</v>
      </c>
      <c r="G260" t="s">
        <v>33</v>
      </c>
      <c r="H260">
        <v>1</v>
      </c>
      <c r="I260" s="116">
        <f t="shared" si="25"/>
        <v>2.4E-2</v>
      </c>
      <c r="J260" t="s">
        <v>31</v>
      </c>
      <c r="K260" t="s">
        <v>31</v>
      </c>
      <c r="L260" t="s">
        <v>31</v>
      </c>
      <c r="M260" t="s">
        <v>31</v>
      </c>
      <c r="P260" s="195">
        <f>P277</f>
        <v>2.4E-2</v>
      </c>
    </row>
    <row r="261" spans="1:18" ht="15.75">
      <c r="A261" s="106" t="s">
        <v>38</v>
      </c>
      <c r="B261" s="113">
        <f>R261</f>
        <v>0.21</v>
      </c>
      <c r="C261" t="s">
        <v>39</v>
      </c>
      <c r="D261" s="17" t="s">
        <v>40</v>
      </c>
      <c r="E261" t="s">
        <v>29</v>
      </c>
      <c r="F261" s="104" t="s">
        <v>35</v>
      </c>
      <c r="G261" t="s">
        <v>33</v>
      </c>
      <c r="H261">
        <v>2</v>
      </c>
      <c r="I261">
        <f t="shared" ref="I261:I265" si="26">LN(B261)</f>
        <v>-1.5606477482646683</v>
      </c>
      <c r="J261">
        <v>0.20928449536456342</v>
      </c>
      <c r="K261" t="s">
        <v>31</v>
      </c>
      <c r="L261" t="s">
        <v>31</v>
      </c>
      <c r="M261" t="s">
        <v>31</v>
      </c>
      <c r="O261" s="123" t="s">
        <v>216</v>
      </c>
      <c r="P261" s="120">
        <v>0.21</v>
      </c>
      <c r="Q261" t="s">
        <v>216</v>
      </c>
      <c r="R261" s="113">
        <f>P261</f>
        <v>0.21</v>
      </c>
    </row>
    <row r="262" spans="1:18" ht="15.75">
      <c r="A262" s="47" t="s">
        <v>791</v>
      </c>
      <c r="B262">
        <f>R262</f>
        <v>6.6E-3</v>
      </c>
      <c r="C262" t="s">
        <v>37</v>
      </c>
      <c r="D262" s="17" t="s">
        <v>40</v>
      </c>
      <c r="E262" t="s">
        <v>29</v>
      </c>
      <c r="F262" s="104" t="s">
        <v>35</v>
      </c>
      <c r="G262" t="s">
        <v>33</v>
      </c>
      <c r="H262">
        <v>2</v>
      </c>
      <c r="I262">
        <f t="shared" si="26"/>
        <v>-5.0206856299497575</v>
      </c>
      <c r="J262">
        <v>0.20928449536456342</v>
      </c>
      <c r="K262" t="s">
        <v>31</v>
      </c>
      <c r="L262" t="s">
        <v>31</v>
      </c>
      <c r="M262" t="s">
        <v>31</v>
      </c>
      <c r="O262" s="119" t="s">
        <v>575</v>
      </c>
      <c r="P262" s="120">
        <v>6.6</v>
      </c>
      <c r="Q262" t="s">
        <v>221</v>
      </c>
      <c r="R262">
        <f>0.001*P262</f>
        <v>6.6E-3</v>
      </c>
    </row>
    <row r="263" spans="1:18" ht="15.75">
      <c r="A263" s="47" t="s">
        <v>546</v>
      </c>
      <c r="B263">
        <f>R263</f>
        <v>1E-3</v>
      </c>
      <c r="C263" t="s">
        <v>37</v>
      </c>
      <c r="D263" s="17" t="s">
        <v>40</v>
      </c>
      <c r="E263" t="s">
        <v>29</v>
      </c>
      <c r="F263" s="104" t="s">
        <v>58</v>
      </c>
      <c r="G263" t="s">
        <v>33</v>
      </c>
      <c r="H263">
        <v>2</v>
      </c>
      <c r="I263">
        <f t="shared" si="26"/>
        <v>-6.9077552789821368</v>
      </c>
      <c r="J263">
        <v>0.20928449536456342</v>
      </c>
      <c r="K263" t="s">
        <v>31</v>
      </c>
      <c r="L263" t="s">
        <v>31</v>
      </c>
      <c r="M263" t="s">
        <v>31</v>
      </c>
      <c r="O263" s="119" t="s">
        <v>575</v>
      </c>
      <c r="P263" s="120">
        <v>1</v>
      </c>
      <c r="Q263" t="s">
        <v>221</v>
      </c>
      <c r="R263">
        <f>0.001*P263</f>
        <v>1E-3</v>
      </c>
    </row>
    <row r="264" spans="1:18" ht="15.75">
      <c r="A264" s="106" t="s">
        <v>792</v>
      </c>
      <c r="B264">
        <f>R264</f>
        <v>3.2600000000000004E-2</v>
      </c>
      <c r="C264" t="s">
        <v>37</v>
      </c>
      <c r="D264" s="17" t="s">
        <v>40</v>
      </c>
      <c r="E264" t="s">
        <v>29</v>
      </c>
      <c r="F264" s="104" t="s">
        <v>741</v>
      </c>
      <c r="G264" t="s">
        <v>33</v>
      </c>
      <c r="H264">
        <v>2</v>
      </c>
      <c r="I264">
        <f t="shared" si="26"/>
        <v>-3.423442990609475</v>
      </c>
      <c r="J264">
        <v>0.20928449536456342</v>
      </c>
      <c r="K264" t="s">
        <v>31</v>
      </c>
      <c r="L264" t="s">
        <v>31</v>
      </c>
      <c r="M264" t="s">
        <v>31</v>
      </c>
      <c r="O264" s="119" t="s">
        <v>575</v>
      </c>
      <c r="P264" s="120">
        <v>32.6</v>
      </c>
      <c r="Q264" t="s">
        <v>221</v>
      </c>
      <c r="R264">
        <f>0.001*P264</f>
        <v>3.2600000000000004E-2</v>
      </c>
    </row>
    <row r="265" spans="1:18" ht="15.75">
      <c r="A265" s="17" t="s">
        <v>1808</v>
      </c>
      <c r="B265">
        <f>R265</f>
        <v>7.6E-3</v>
      </c>
      <c r="C265" t="s">
        <v>37</v>
      </c>
      <c r="D265" s="111" t="s">
        <v>2</v>
      </c>
      <c r="E265" t="s">
        <v>29</v>
      </c>
      <c r="F265" s="104" t="s">
        <v>741</v>
      </c>
      <c r="G265" t="s">
        <v>33</v>
      </c>
      <c r="H265">
        <v>2</v>
      </c>
      <c r="I265">
        <f t="shared" si="26"/>
        <v>-4.8796070316898517</v>
      </c>
      <c r="J265">
        <v>0.20928449536456342</v>
      </c>
      <c r="K265" t="s">
        <v>31</v>
      </c>
      <c r="L265" t="s">
        <v>31</v>
      </c>
      <c r="M265" t="s">
        <v>31</v>
      </c>
      <c r="O265" s="190" t="s">
        <v>575</v>
      </c>
      <c r="P265" s="155">
        <v>7.6</v>
      </c>
      <c r="Q265" t="s">
        <v>221</v>
      </c>
      <c r="R265">
        <f>0.001*P265</f>
        <v>7.6E-3</v>
      </c>
    </row>
    <row r="266" spans="1:18" s="41" customFormat="1" ht="15.75">
      <c r="A266" s="99" t="s">
        <v>5</v>
      </c>
      <c r="B266" s="108" t="s">
        <v>1895</v>
      </c>
    </row>
    <row r="267" spans="1:18">
      <c r="A267" s="101" t="s">
        <v>7</v>
      </c>
      <c r="B267" t="s">
        <v>1807</v>
      </c>
      <c r="C267" s="102"/>
    </row>
    <row r="268" spans="1:18">
      <c r="A268" s="114" t="s">
        <v>9</v>
      </c>
      <c r="B268" t="s">
        <v>1896</v>
      </c>
      <c r="C268" s="102"/>
    </row>
    <row r="269" spans="1:18" ht="15.75" customHeight="1">
      <c r="A269" s="101" t="s">
        <v>11</v>
      </c>
      <c r="B269" s="103" t="s">
        <v>789</v>
      </c>
    </row>
    <row r="270" spans="1:18">
      <c r="A270" s="101" t="s">
        <v>13</v>
      </c>
      <c r="B270" t="s">
        <v>14</v>
      </c>
    </row>
    <row r="271" spans="1:18">
      <c r="A271" s="101" t="s">
        <v>15</v>
      </c>
      <c r="B271" s="116">
        <f>B276</f>
        <v>2.4E-2</v>
      </c>
    </row>
    <row r="272" spans="1:18">
      <c r="A272" s="101" t="s">
        <v>16</v>
      </c>
      <c r="B272" t="s">
        <v>17</v>
      </c>
    </row>
    <row r="273" spans="1:18">
      <c r="A273" s="101" t="s">
        <v>18</v>
      </c>
      <c r="B273" t="s">
        <v>113</v>
      </c>
    </row>
    <row r="274" spans="1:18" ht="15.75">
      <c r="A274" s="105" t="s">
        <v>19</v>
      </c>
    </row>
    <row r="275" spans="1:18" ht="15.75">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75">
      <c r="A276" t="s">
        <v>1895</v>
      </c>
      <c r="B276" s="116">
        <f>P277</f>
        <v>2.4E-2</v>
      </c>
      <c r="C276" t="s">
        <v>113</v>
      </c>
      <c r="D276" s="111" t="s">
        <v>2</v>
      </c>
      <c r="E276" t="s">
        <v>29</v>
      </c>
      <c r="F276" t="s">
        <v>14</v>
      </c>
      <c r="G276" t="s">
        <v>30</v>
      </c>
      <c r="H276">
        <v>1</v>
      </c>
      <c r="I276" s="116">
        <f t="shared" ref="I276:I277" si="27">B276</f>
        <v>2.4E-2</v>
      </c>
      <c r="J276" t="s">
        <v>31</v>
      </c>
      <c r="K276" t="s">
        <v>31</v>
      </c>
      <c r="L276" t="s">
        <v>31</v>
      </c>
      <c r="M276" t="s">
        <v>31</v>
      </c>
    </row>
    <row r="277" spans="1:18" ht="15.75">
      <c r="A277" t="s">
        <v>1897</v>
      </c>
      <c r="B277" s="116">
        <f>P277</f>
        <v>2.4E-2</v>
      </c>
      <c r="C277" t="s">
        <v>113</v>
      </c>
      <c r="D277" s="111" t="s">
        <v>2</v>
      </c>
      <c r="E277" t="s">
        <v>29</v>
      </c>
      <c r="F277" t="s">
        <v>14</v>
      </c>
      <c r="G277" t="s">
        <v>33</v>
      </c>
      <c r="H277">
        <v>1</v>
      </c>
      <c r="I277" s="116">
        <f t="shared" si="27"/>
        <v>2.4E-2</v>
      </c>
      <c r="J277" t="s">
        <v>31</v>
      </c>
      <c r="K277" t="s">
        <v>31</v>
      </c>
      <c r="L277" t="s">
        <v>31</v>
      </c>
      <c r="M277" t="s">
        <v>31</v>
      </c>
      <c r="P277" s="184">
        <v>2.4E-2</v>
      </c>
    </row>
    <row r="278" spans="1:18" ht="15.75">
      <c r="A278" s="106" t="s">
        <v>38</v>
      </c>
      <c r="B278" s="113">
        <f>P278</f>
        <v>4.59</v>
      </c>
      <c r="C278" t="s">
        <v>39</v>
      </c>
      <c r="D278" s="17" t="s">
        <v>40</v>
      </c>
      <c r="E278" t="s">
        <v>29</v>
      </c>
      <c r="F278" s="104" t="s">
        <v>35</v>
      </c>
      <c r="G278" t="s">
        <v>33</v>
      </c>
      <c r="H278">
        <v>2</v>
      </c>
      <c r="I278">
        <f t="shared" ref="I278:I279" si="28">LN(B278)</f>
        <v>1.5238800240724537</v>
      </c>
      <c r="J278">
        <v>0.20928449536456342</v>
      </c>
      <c r="K278" t="s">
        <v>31</v>
      </c>
      <c r="L278" t="s">
        <v>31</v>
      </c>
      <c r="M278" t="s">
        <v>31</v>
      </c>
      <c r="O278" s="119" t="s">
        <v>216</v>
      </c>
      <c r="P278" s="120">
        <f>3.16+1.43</f>
        <v>4.59</v>
      </c>
    </row>
    <row r="279" spans="1:18" ht="15.75">
      <c r="A279" s="106" t="s">
        <v>792</v>
      </c>
      <c r="B279" s="113">
        <f>R279</f>
        <v>9.1999999999999998E-3</v>
      </c>
      <c r="C279" t="s">
        <v>37</v>
      </c>
      <c r="D279" s="17" t="s">
        <v>40</v>
      </c>
      <c r="E279" t="s">
        <v>29</v>
      </c>
      <c r="F279" s="104" t="s">
        <v>741</v>
      </c>
      <c r="G279" t="s">
        <v>33</v>
      </c>
      <c r="H279">
        <v>2</v>
      </c>
      <c r="I279">
        <f t="shared" si="28"/>
        <v>-4.6885517949271422</v>
      </c>
      <c r="J279">
        <v>0.20928449536456342</v>
      </c>
      <c r="K279" t="s">
        <v>31</v>
      </c>
      <c r="L279" t="s">
        <v>31</v>
      </c>
      <c r="M279" t="s">
        <v>31</v>
      </c>
      <c r="O279" s="119" t="s">
        <v>575</v>
      </c>
      <c r="P279" s="120">
        <v>9.1999999999999993</v>
      </c>
      <c r="Q279" t="s">
        <v>221</v>
      </c>
      <c r="R279">
        <f>P279*0.001</f>
        <v>9.1999999999999998E-3</v>
      </c>
    </row>
    <row r="280" spans="1:18">
      <c r="A280" s="47" t="s">
        <v>530</v>
      </c>
      <c r="B280" s="113">
        <f>R280</f>
        <v>1.12E-2</v>
      </c>
      <c r="C280" t="s">
        <v>37</v>
      </c>
      <c r="D280" t="s">
        <v>40</v>
      </c>
      <c r="E280" t="s">
        <v>29</v>
      </c>
      <c r="F280" t="s">
        <v>35</v>
      </c>
      <c r="G280" t="s">
        <v>33</v>
      </c>
      <c r="H280">
        <v>2</v>
      </c>
      <c r="I280">
        <f>LN(B280)</f>
        <v>-4.4918415006810886</v>
      </c>
      <c r="J280">
        <v>0.20928449536456342</v>
      </c>
      <c r="K280" t="s">
        <v>31</v>
      </c>
      <c r="L280" t="s">
        <v>31</v>
      </c>
      <c r="M280" t="s">
        <v>31</v>
      </c>
      <c r="O280" s="119" t="s">
        <v>575</v>
      </c>
      <c r="P280" s="120">
        <v>11.2</v>
      </c>
      <c r="Q280" t="s">
        <v>221</v>
      </c>
      <c r="R280">
        <f>P280*0.001</f>
        <v>1.12E-2</v>
      </c>
    </row>
    <row r="281" spans="1:18" ht="15.75">
      <c r="A281" s="17" t="s">
        <v>1808</v>
      </c>
      <c r="B281" s="113">
        <f>R281</f>
        <v>1.12E-2</v>
      </c>
      <c r="C281" t="s">
        <v>37</v>
      </c>
      <c r="D281" s="111" t="s">
        <v>2</v>
      </c>
      <c r="E281" t="s">
        <v>29</v>
      </c>
      <c r="F281" s="104" t="s">
        <v>741</v>
      </c>
      <c r="G281" t="s">
        <v>33</v>
      </c>
      <c r="H281">
        <v>2</v>
      </c>
      <c r="I281">
        <f t="shared" ref="I281" si="29">LN(B281)</f>
        <v>-4.4918415006810886</v>
      </c>
      <c r="J281">
        <v>0.20928449536456342</v>
      </c>
      <c r="K281" t="s">
        <v>31</v>
      </c>
      <c r="L281" t="s">
        <v>31</v>
      </c>
      <c r="M281" t="s">
        <v>31</v>
      </c>
      <c r="O281" s="190" t="s">
        <v>575</v>
      </c>
      <c r="P281" s="155">
        <v>11.2</v>
      </c>
      <c r="Q281" t="s">
        <v>221</v>
      </c>
      <c r="R281">
        <f>0.001*P281</f>
        <v>1.12E-2</v>
      </c>
    </row>
    <row r="282" spans="1:18" s="41" customFormat="1" ht="15.75">
      <c r="A282" s="99" t="s">
        <v>5</v>
      </c>
      <c r="B282" s="108" t="s">
        <v>1897</v>
      </c>
    </row>
    <row r="283" spans="1:18">
      <c r="A283" s="101" t="s">
        <v>7</v>
      </c>
      <c r="B283" t="s">
        <v>1807</v>
      </c>
      <c r="C283" s="102"/>
    </row>
    <row r="284" spans="1:18">
      <c r="A284" s="114" t="s">
        <v>9</v>
      </c>
      <c r="B284" t="s">
        <v>1898</v>
      </c>
      <c r="C284" s="102"/>
    </row>
    <row r="285" spans="1:18" ht="15.75" customHeight="1">
      <c r="A285" s="101" t="s">
        <v>11</v>
      </c>
      <c r="B285" s="103" t="s">
        <v>789</v>
      </c>
    </row>
    <row r="286" spans="1:18">
      <c r="A286" s="101" t="s">
        <v>13</v>
      </c>
      <c r="B286" t="s">
        <v>14</v>
      </c>
    </row>
    <row r="287" spans="1:18">
      <c r="A287" s="101" t="s">
        <v>15</v>
      </c>
      <c r="B287" s="116">
        <f>B292</f>
        <v>0.04</v>
      </c>
    </row>
    <row r="288" spans="1:18">
      <c r="A288" s="101" t="s">
        <v>16</v>
      </c>
      <c r="B288" t="s">
        <v>17</v>
      </c>
      <c r="R288" s="159" t="s">
        <v>880</v>
      </c>
    </row>
    <row r="289" spans="1:21">
      <c r="A289" s="101" t="s">
        <v>18</v>
      </c>
      <c r="B289" t="s">
        <v>113</v>
      </c>
      <c r="R289" t="s">
        <v>881</v>
      </c>
      <c r="S289">
        <v>8900</v>
      </c>
      <c r="T289" t="s">
        <v>882</v>
      </c>
    </row>
    <row r="290" spans="1:21" ht="15.75">
      <c r="A290" s="105" t="s">
        <v>19</v>
      </c>
      <c r="R290" t="s">
        <v>883</v>
      </c>
      <c r="S290">
        <f>5*10^-6</f>
        <v>4.9999999999999996E-6</v>
      </c>
      <c r="T290" t="s">
        <v>884</v>
      </c>
    </row>
    <row r="291" spans="1:21" ht="15.75">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62" t="s">
        <v>885</v>
      </c>
      <c r="S291" s="163">
        <f>S290*S289</f>
        <v>4.4499999999999998E-2</v>
      </c>
      <c r="T291" s="164" t="s">
        <v>886</v>
      </c>
    </row>
    <row r="292" spans="1:21" ht="15.75">
      <c r="A292" t="s">
        <v>1897</v>
      </c>
      <c r="B292" s="116">
        <v>0.04</v>
      </c>
      <c r="C292" t="s">
        <v>113</v>
      </c>
      <c r="D292" s="111" t="s">
        <v>2</v>
      </c>
      <c r="E292" t="s">
        <v>29</v>
      </c>
      <c r="F292" t="s">
        <v>14</v>
      </c>
      <c r="G292" t="s">
        <v>30</v>
      </c>
      <c r="H292">
        <v>1</v>
      </c>
      <c r="I292" s="116">
        <f t="shared" ref="I292:I294" si="30">B292</f>
        <v>0.04</v>
      </c>
      <c r="J292" t="s">
        <v>31</v>
      </c>
      <c r="K292" t="s">
        <v>31</v>
      </c>
      <c r="L292" t="s">
        <v>31</v>
      </c>
      <c r="M292" t="s">
        <v>31</v>
      </c>
      <c r="O292" s="119" t="s">
        <v>887</v>
      </c>
      <c r="P292" s="120">
        <f>B292*100</f>
        <v>4</v>
      </c>
    </row>
    <row r="293" spans="1:21" ht="15.75">
      <c r="A293" t="s">
        <v>1899</v>
      </c>
      <c r="B293" s="116">
        <v>0.04</v>
      </c>
      <c r="C293" t="s">
        <v>113</v>
      </c>
      <c r="D293" s="111" t="s">
        <v>2</v>
      </c>
      <c r="E293" t="s">
        <v>29</v>
      </c>
      <c r="F293" t="s">
        <v>14</v>
      </c>
      <c r="G293" t="s">
        <v>33</v>
      </c>
      <c r="H293">
        <v>1</v>
      </c>
      <c r="I293" s="116">
        <f t="shared" si="30"/>
        <v>0.04</v>
      </c>
      <c r="J293">
        <v>7.2284161474004766E-2</v>
      </c>
      <c r="K293" t="s">
        <v>31</v>
      </c>
      <c r="L293" t="s">
        <v>31</v>
      </c>
      <c r="M293" t="s">
        <v>31</v>
      </c>
      <c r="O293" s="119" t="s">
        <v>887</v>
      </c>
      <c r="P293" s="120">
        <f>B293*100</f>
        <v>4</v>
      </c>
      <c r="R293" t="s">
        <v>548</v>
      </c>
      <c r="U293" s="150"/>
    </row>
    <row r="294" spans="1:21" ht="15.75">
      <c r="A294" s="42" t="s">
        <v>1846</v>
      </c>
      <c r="B294" s="157">
        <f>R294</f>
        <v>0.94</v>
      </c>
      <c r="C294" t="s">
        <v>37</v>
      </c>
      <c r="D294" s="111" t="s">
        <v>2</v>
      </c>
      <c r="E294" t="s">
        <v>29</v>
      </c>
      <c r="F294" s="104" t="s">
        <v>14</v>
      </c>
      <c r="G294" t="s">
        <v>33</v>
      </c>
      <c r="H294">
        <v>1</v>
      </c>
      <c r="I294" s="116">
        <f t="shared" si="30"/>
        <v>0.94</v>
      </c>
      <c r="J294">
        <v>7.2284161474004766E-2</v>
      </c>
      <c r="K294" t="s">
        <v>31</v>
      </c>
      <c r="L294" t="s">
        <v>31</v>
      </c>
      <c r="M294" t="s">
        <v>31</v>
      </c>
      <c r="O294" s="117"/>
      <c r="P294" s="118"/>
      <c r="R294" s="166">
        <v>0.94</v>
      </c>
      <c r="S294" s="167" t="s">
        <v>605</v>
      </c>
      <c r="T294" s="166">
        <f>R294*S291</f>
        <v>4.1829999999999992E-2</v>
      </c>
      <c r="U294" s="167" t="s">
        <v>221</v>
      </c>
    </row>
    <row r="295" spans="1:21" ht="15.75">
      <c r="A295" s="106" t="s">
        <v>792</v>
      </c>
      <c r="B295">
        <f>P295</f>
        <v>7.5</v>
      </c>
      <c r="C295" t="s">
        <v>37</v>
      </c>
      <c r="D295" s="17" t="s">
        <v>40</v>
      </c>
      <c r="E295" t="s">
        <v>29</v>
      </c>
      <c r="F295" s="104" t="s">
        <v>741</v>
      </c>
      <c r="G295" t="s">
        <v>33</v>
      </c>
      <c r="H295">
        <v>2</v>
      </c>
      <c r="I295">
        <f t="shared" ref="I295" si="31">LN(B295)</f>
        <v>2.0149030205422647</v>
      </c>
      <c r="J295">
        <v>7.2284161474004766E-2</v>
      </c>
      <c r="K295" t="s">
        <v>31</v>
      </c>
      <c r="L295" t="s">
        <v>31</v>
      </c>
      <c r="M295" t="s">
        <v>31</v>
      </c>
      <c r="O295" s="119" t="s">
        <v>221</v>
      </c>
      <c r="P295" s="120">
        <v>7.5</v>
      </c>
    </row>
    <row r="296" spans="1:21" ht="15.75">
      <c r="A296" s="47" t="s">
        <v>869</v>
      </c>
      <c r="B296" s="113">
        <f>R296</f>
        <v>3.9999999999999998E-7</v>
      </c>
      <c r="C296" t="s">
        <v>37</v>
      </c>
      <c r="D296" s="17" t="s">
        <v>40</v>
      </c>
      <c r="E296" t="s">
        <v>29</v>
      </c>
      <c r="F296" s="104" t="s">
        <v>58</v>
      </c>
      <c r="G296" t="s">
        <v>33</v>
      </c>
      <c r="H296">
        <v>2</v>
      </c>
      <c r="I296">
        <f>LN(B296)</f>
        <v>-14.73180128983843</v>
      </c>
      <c r="J296">
        <v>7.2284161474004766E-2</v>
      </c>
      <c r="K296" t="s">
        <v>31</v>
      </c>
      <c r="L296" t="s">
        <v>31</v>
      </c>
      <c r="M296" t="s">
        <v>31</v>
      </c>
      <c r="O296" s="152" t="s">
        <v>523</v>
      </c>
      <c r="P296" s="168">
        <v>0.4</v>
      </c>
      <c r="Q296" s="119" t="s">
        <v>221</v>
      </c>
      <c r="R296">
        <f>P296*0.000001</f>
        <v>3.9999999999999998E-7</v>
      </c>
    </row>
    <row r="297" spans="1:21" ht="15.75">
      <c r="A297" s="47" t="s">
        <v>226</v>
      </c>
      <c r="B297">
        <f>R297</f>
        <v>7.4999999999999997E-3</v>
      </c>
      <c r="C297" t="s">
        <v>42</v>
      </c>
      <c r="D297" s="17" t="s">
        <v>40</v>
      </c>
      <c r="E297" t="s">
        <v>29</v>
      </c>
      <c r="F297" s="104" t="s">
        <v>741</v>
      </c>
      <c r="G297" t="s">
        <v>33</v>
      </c>
      <c r="H297">
        <v>2</v>
      </c>
      <c r="I297">
        <f t="shared" ref="I297" si="32">LN(B297)</f>
        <v>-4.8928522584398726</v>
      </c>
      <c r="J297">
        <v>7.2284161474004766E-2</v>
      </c>
      <c r="K297" t="s">
        <v>31</v>
      </c>
      <c r="L297" t="s">
        <v>31</v>
      </c>
      <c r="M297" t="s">
        <v>31</v>
      </c>
      <c r="O297" s="154" t="s">
        <v>858</v>
      </c>
      <c r="P297" s="155">
        <v>7.5</v>
      </c>
      <c r="Q297" t="s">
        <v>219</v>
      </c>
      <c r="R297">
        <f>P297*0.001</f>
        <v>7.4999999999999997E-3</v>
      </c>
    </row>
    <row r="298" spans="1:21" s="41" customFormat="1" ht="15.75">
      <c r="A298" s="99" t="s">
        <v>5</v>
      </c>
      <c r="B298" s="108" t="s">
        <v>1899</v>
      </c>
    </row>
    <row r="299" spans="1:21">
      <c r="A299" s="101" t="s">
        <v>7</v>
      </c>
      <c r="B299" t="s">
        <v>1807</v>
      </c>
      <c r="C299" s="102"/>
    </row>
    <row r="300" spans="1:21">
      <c r="A300" s="114" t="s">
        <v>9</v>
      </c>
      <c r="B300" t="s">
        <v>1900</v>
      </c>
      <c r="C300" s="102"/>
    </row>
    <row r="301" spans="1:21" ht="15.75" customHeight="1">
      <c r="A301" s="101" t="s">
        <v>11</v>
      </c>
      <c r="B301" s="103" t="s">
        <v>789</v>
      </c>
    </row>
    <row r="302" spans="1:21">
      <c r="A302" s="101" t="s">
        <v>13</v>
      </c>
      <c r="B302" t="s">
        <v>14</v>
      </c>
    </row>
    <row r="303" spans="1:21">
      <c r="A303" s="101" t="s">
        <v>15</v>
      </c>
      <c r="B303" s="116">
        <f>B308</f>
        <v>2.4E-2</v>
      </c>
    </row>
    <row r="304" spans="1:21">
      <c r="A304" s="101" t="s">
        <v>16</v>
      </c>
      <c r="B304" t="s">
        <v>17</v>
      </c>
    </row>
    <row r="305" spans="1:20">
      <c r="A305" s="101" t="s">
        <v>18</v>
      </c>
      <c r="B305" t="s">
        <v>113</v>
      </c>
    </row>
    <row r="306" spans="1:20" ht="15.75">
      <c r="A306" s="105" t="s">
        <v>19</v>
      </c>
    </row>
    <row r="307" spans="1:20" ht="15.75">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6"/>
    </row>
    <row r="308" spans="1:20" ht="15.75">
      <c r="A308" t="s">
        <v>1899</v>
      </c>
      <c r="B308" s="116">
        <f t="shared" ref="B308:B318" si="33">P308</f>
        <v>2.4E-2</v>
      </c>
      <c r="C308" t="s">
        <v>113</v>
      </c>
      <c r="D308" s="111" t="s">
        <v>2</v>
      </c>
      <c r="E308" t="s">
        <v>29</v>
      </c>
      <c r="F308" t="s">
        <v>14</v>
      </c>
      <c r="G308" t="s">
        <v>30</v>
      </c>
      <c r="H308">
        <v>1</v>
      </c>
      <c r="I308" s="116">
        <f t="shared" ref="I308:I309" si="34">B308</f>
        <v>2.4E-2</v>
      </c>
      <c r="J308" t="s">
        <v>31</v>
      </c>
      <c r="K308" t="s">
        <v>31</v>
      </c>
      <c r="L308" t="s">
        <v>31</v>
      </c>
      <c r="M308" t="s">
        <v>31</v>
      </c>
      <c r="P308" s="189">
        <v>2.4E-2</v>
      </c>
    </row>
    <row r="309" spans="1:20" ht="15.75">
      <c r="A309" t="s">
        <v>1901</v>
      </c>
      <c r="B309" s="116">
        <f t="shared" si="33"/>
        <v>2.4E-2</v>
      </c>
      <c r="C309" t="s">
        <v>113</v>
      </c>
      <c r="D309" s="111" t="s">
        <v>2</v>
      </c>
      <c r="E309" t="s">
        <v>29</v>
      </c>
      <c r="F309" t="s">
        <v>14</v>
      </c>
      <c r="G309" t="s">
        <v>33</v>
      </c>
      <c r="H309">
        <v>1</v>
      </c>
      <c r="I309" s="116">
        <f t="shared" si="34"/>
        <v>2.4E-2</v>
      </c>
      <c r="J309" t="s">
        <v>31</v>
      </c>
      <c r="K309" t="s">
        <v>31</v>
      </c>
      <c r="L309" t="s">
        <v>31</v>
      </c>
      <c r="M309" t="s">
        <v>31</v>
      </c>
      <c r="P309" s="189">
        <v>2.4E-2</v>
      </c>
    </row>
    <row r="310" spans="1:20" ht="15.75">
      <c r="A310" s="106" t="s">
        <v>38</v>
      </c>
      <c r="B310" s="113">
        <f t="shared" si="33"/>
        <v>0.31</v>
      </c>
      <c r="C310" t="s">
        <v>39</v>
      </c>
      <c r="D310" s="17" t="s">
        <v>40</v>
      </c>
      <c r="E310" t="s">
        <v>29</v>
      </c>
      <c r="F310" s="104" t="s">
        <v>35</v>
      </c>
      <c r="G310" t="s">
        <v>33</v>
      </c>
      <c r="H310">
        <v>2</v>
      </c>
      <c r="I310">
        <f t="shared" ref="I310" si="35">LN(B310)</f>
        <v>-1.1711829815029451</v>
      </c>
      <c r="J310">
        <v>0.22500000000000006</v>
      </c>
      <c r="K310" t="s">
        <v>31</v>
      </c>
      <c r="L310" t="s">
        <v>31</v>
      </c>
      <c r="M310" t="s">
        <v>31</v>
      </c>
      <c r="O310" s="119" t="s">
        <v>216</v>
      </c>
      <c r="P310" s="120">
        <v>0.31</v>
      </c>
    </row>
    <row r="311" spans="1:20">
      <c r="A311" s="47" t="s">
        <v>683</v>
      </c>
      <c r="B311" s="116">
        <f t="shared" si="33"/>
        <v>1.43E-2</v>
      </c>
      <c r="C311" t="s">
        <v>37</v>
      </c>
      <c r="D311" t="s">
        <v>40</v>
      </c>
      <c r="E311" t="s">
        <v>29</v>
      </c>
      <c r="F311" t="s">
        <v>35</v>
      </c>
      <c r="G311" t="s">
        <v>33</v>
      </c>
      <c r="H311">
        <v>2</v>
      </c>
      <c r="I311">
        <f>LN(B311)</f>
        <v>-4.2474957417162758</v>
      </c>
      <c r="J311">
        <v>0.22500000000000006</v>
      </c>
      <c r="K311" t="s">
        <v>31</v>
      </c>
      <c r="L311" t="s">
        <v>31</v>
      </c>
      <c r="M311" t="s">
        <v>31</v>
      </c>
      <c r="O311" s="119" t="s">
        <v>221</v>
      </c>
      <c r="P311" s="175">
        <v>1.43E-2</v>
      </c>
    </row>
    <row r="312" spans="1:20">
      <c r="A312" t="s">
        <v>952</v>
      </c>
      <c r="B312" s="116">
        <f t="shared" si="33"/>
        <v>3.1E-2</v>
      </c>
      <c r="C312" t="s">
        <v>37</v>
      </c>
      <c r="D312" t="s">
        <v>40</v>
      </c>
      <c r="E312" t="s">
        <v>29</v>
      </c>
      <c r="F312" t="s">
        <v>58</v>
      </c>
      <c r="G312" t="s">
        <v>33</v>
      </c>
      <c r="H312">
        <v>2</v>
      </c>
      <c r="I312">
        <f t="shared" ref="I312:I318" si="36">LN(B312)</f>
        <v>-3.473768074496991</v>
      </c>
      <c r="J312">
        <v>0.22500000000000006</v>
      </c>
      <c r="K312" t="s">
        <v>31</v>
      </c>
      <c r="L312" t="s">
        <v>31</v>
      </c>
      <c r="M312" t="s">
        <v>31</v>
      </c>
      <c r="O312" s="119" t="s">
        <v>221</v>
      </c>
      <c r="P312" s="175">
        <v>3.1E-2</v>
      </c>
    </row>
    <row r="313" spans="1:20">
      <c r="A313" s="47" t="s">
        <v>530</v>
      </c>
      <c r="B313" s="116">
        <f t="shared" si="33"/>
        <v>1.43E-2</v>
      </c>
      <c r="C313" t="s">
        <v>37</v>
      </c>
      <c r="D313" t="s">
        <v>40</v>
      </c>
      <c r="E313" t="s">
        <v>29</v>
      </c>
      <c r="F313" t="s">
        <v>35</v>
      </c>
      <c r="G313" t="s">
        <v>33</v>
      </c>
      <c r="H313">
        <v>2</v>
      </c>
      <c r="I313">
        <f t="shared" si="36"/>
        <v>-4.2474957417162758</v>
      </c>
      <c r="J313">
        <v>0.22500000000000006</v>
      </c>
      <c r="K313" t="s">
        <v>31</v>
      </c>
      <c r="L313" t="s">
        <v>31</v>
      </c>
      <c r="M313" t="s">
        <v>31</v>
      </c>
      <c r="O313" s="119" t="s">
        <v>221</v>
      </c>
      <c r="P313" s="175">
        <v>1.43E-2</v>
      </c>
    </row>
    <row r="314" spans="1:20">
      <c r="A314" s="47" t="s">
        <v>953</v>
      </c>
      <c r="B314" s="116">
        <f t="shared" si="33"/>
        <v>1.0699999999999999E-2</v>
      </c>
      <c r="C314" t="s">
        <v>37</v>
      </c>
      <c r="D314" t="s">
        <v>40</v>
      </c>
      <c r="E314" t="s">
        <v>29</v>
      </c>
      <c r="F314" t="s">
        <v>58</v>
      </c>
      <c r="G314" t="s">
        <v>33</v>
      </c>
      <c r="H314">
        <v>2</v>
      </c>
      <c r="I314">
        <f t="shared" si="36"/>
        <v>-4.5375115375142769</v>
      </c>
      <c r="J314">
        <v>0.22500000000000006</v>
      </c>
      <c r="K314" t="s">
        <v>31</v>
      </c>
      <c r="L314" t="s">
        <v>31</v>
      </c>
      <c r="M314" t="s">
        <v>31</v>
      </c>
      <c r="O314" s="119" t="s">
        <v>221</v>
      </c>
      <c r="P314" s="175">
        <v>1.0699999999999999E-2</v>
      </c>
    </row>
    <row r="315" spans="1:20">
      <c r="A315" s="47" t="s">
        <v>954</v>
      </c>
      <c r="B315" s="116">
        <f t="shared" si="33"/>
        <v>3.1E-2</v>
      </c>
      <c r="C315" t="s">
        <v>37</v>
      </c>
      <c r="D315" t="s">
        <v>40</v>
      </c>
      <c r="E315" t="s">
        <v>29</v>
      </c>
      <c r="F315" t="s">
        <v>58</v>
      </c>
      <c r="G315" t="s">
        <v>33</v>
      </c>
      <c r="H315">
        <v>2</v>
      </c>
      <c r="I315">
        <f t="shared" si="36"/>
        <v>-3.473768074496991</v>
      </c>
      <c r="J315">
        <v>0.22500000000000006</v>
      </c>
      <c r="K315" t="s">
        <v>31</v>
      </c>
      <c r="L315" t="s">
        <v>31</v>
      </c>
      <c r="M315" t="s">
        <v>31</v>
      </c>
      <c r="O315" s="119" t="s">
        <v>221</v>
      </c>
      <c r="P315" s="175">
        <v>3.1E-2</v>
      </c>
    </row>
    <row r="316" spans="1:20" ht="15.75">
      <c r="A316" s="106" t="s">
        <v>792</v>
      </c>
      <c r="B316" s="116">
        <f t="shared" si="33"/>
        <v>0.57199999999999995</v>
      </c>
      <c r="C316" t="s">
        <v>37</v>
      </c>
      <c r="D316" s="17" t="s">
        <v>40</v>
      </c>
      <c r="E316" t="s">
        <v>29</v>
      </c>
      <c r="F316" s="104" t="s">
        <v>741</v>
      </c>
      <c r="G316" t="s">
        <v>33</v>
      </c>
      <c r="H316">
        <v>2</v>
      </c>
      <c r="I316">
        <f t="shared" si="36"/>
        <v>-0.55861628760233928</v>
      </c>
      <c r="J316">
        <v>0.22500000000000006</v>
      </c>
      <c r="K316" t="s">
        <v>31</v>
      </c>
      <c r="L316" t="s">
        <v>31</v>
      </c>
      <c r="M316" t="s">
        <v>31</v>
      </c>
      <c r="O316" s="119" t="s">
        <v>221</v>
      </c>
      <c r="P316" s="175">
        <v>0.57199999999999995</v>
      </c>
    </row>
    <row r="317" spans="1:20">
      <c r="A317" s="47" t="s">
        <v>760</v>
      </c>
      <c r="B317" s="116">
        <f t="shared" si="33"/>
        <v>5.4999999999999997E-3</v>
      </c>
      <c r="C317" t="s">
        <v>37</v>
      </c>
      <c r="D317" t="s">
        <v>43</v>
      </c>
      <c r="E317" t="s">
        <v>44</v>
      </c>
      <c r="F317" t="s">
        <v>29</v>
      </c>
      <c r="G317" t="s">
        <v>45</v>
      </c>
      <c r="H317">
        <v>2</v>
      </c>
      <c r="I317">
        <f t="shared" si="36"/>
        <v>-5.2030071867437115</v>
      </c>
      <c r="J317">
        <v>0.22500000000000006</v>
      </c>
      <c r="K317" t="s">
        <v>31</v>
      </c>
      <c r="L317" t="s">
        <v>31</v>
      </c>
      <c r="M317" t="s">
        <v>31</v>
      </c>
      <c r="O317" s="152" t="s">
        <v>221</v>
      </c>
      <c r="P317" s="153">
        <v>5.4999999999999997E-3</v>
      </c>
    </row>
    <row r="318" spans="1:20" ht="15.75">
      <c r="A318" s="17" t="s">
        <v>1808</v>
      </c>
      <c r="B318" s="116">
        <f t="shared" si="33"/>
        <v>0.1</v>
      </c>
      <c r="C318" t="s">
        <v>37</v>
      </c>
      <c r="D318" s="111" t="s">
        <v>2</v>
      </c>
      <c r="E318" t="s">
        <v>29</v>
      </c>
      <c r="F318" s="104" t="s">
        <v>741</v>
      </c>
      <c r="G318" t="s">
        <v>33</v>
      </c>
      <c r="H318">
        <v>2</v>
      </c>
      <c r="I318">
        <f t="shared" si="36"/>
        <v>-2.3025850929940455</v>
      </c>
      <c r="J318">
        <v>0.22500000000000006</v>
      </c>
      <c r="K318" t="s">
        <v>31</v>
      </c>
      <c r="L318" t="s">
        <v>31</v>
      </c>
      <c r="M318" t="s">
        <v>31</v>
      </c>
      <c r="O318" s="154" t="s">
        <v>221</v>
      </c>
      <c r="P318" s="196">
        <v>0.1</v>
      </c>
    </row>
    <row r="319" spans="1:20" s="41" customFormat="1" ht="15.75">
      <c r="A319" s="99" t="s">
        <v>5</v>
      </c>
      <c r="B319" s="108" t="s">
        <v>1901</v>
      </c>
    </row>
    <row r="320" spans="1:20">
      <c r="A320" s="101" t="s">
        <v>7</v>
      </c>
      <c r="B320" t="s">
        <v>1807</v>
      </c>
      <c r="C320" s="102"/>
    </row>
    <row r="321" spans="1:20">
      <c r="A321" s="114" t="s">
        <v>9</v>
      </c>
      <c r="B321" t="s">
        <v>1902</v>
      </c>
      <c r="C321" s="102"/>
    </row>
    <row r="322" spans="1:20" ht="15.75" customHeight="1">
      <c r="A322" s="101" t="s">
        <v>11</v>
      </c>
      <c r="B322" s="103" t="s">
        <v>789</v>
      </c>
    </row>
    <row r="323" spans="1:20">
      <c r="A323" s="101" t="s">
        <v>13</v>
      </c>
      <c r="B323" t="s">
        <v>14</v>
      </c>
    </row>
    <row r="324" spans="1:20">
      <c r="A324" s="101" t="s">
        <v>15</v>
      </c>
      <c r="B324" s="116">
        <f>B329</f>
        <v>2.4E-2</v>
      </c>
    </row>
    <row r="325" spans="1:20">
      <c r="A325" s="101" t="s">
        <v>16</v>
      </c>
      <c r="B325" t="s">
        <v>17</v>
      </c>
    </row>
    <row r="326" spans="1:20">
      <c r="A326" s="101" t="s">
        <v>18</v>
      </c>
      <c r="B326" t="s">
        <v>113</v>
      </c>
    </row>
    <row r="327" spans="1:20" ht="15.75">
      <c r="A327" s="105" t="s">
        <v>19</v>
      </c>
    </row>
    <row r="328" spans="1:20" ht="15.75">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6"/>
    </row>
    <row r="329" spans="1:20" ht="15.75">
      <c r="A329" t="s">
        <v>1901</v>
      </c>
      <c r="B329" s="116">
        <f>P330</f>
        <v>2.4E-2</v>
      </c>
      <c r="C329" t="s">
        <v>113</v>
      </c>
      <c r="D329" s="111" t="s">
        <v>2</v>
      </c>
      <c r="E329" t="s">
        <v>29</v>
      </c>
      <c r="F329" t="s">
        <v>14</v>
      </c>
      <c r="G329" t="s">
        <v>30</v>
      </c>
      <c r="H329">
        <v>1</v>
      </c>
      <c r="I329" s="116">
        <f t="shared" ref="I329:I331" si="37">B329</f>
        <v>2.4E-2</v>
      </c>
      <c r="J329" t="s">
        <v>31</v>
      </c>
      <c r="K329" t="s">
        <v>31</v>
      </c>
      <c r="L329" t="s">
        <v>31</v>
      </c>
      <c r="M329" t="s">
        <v>31</v>
      </c>
    </row>
    <row r="330" spans="1:20" ht="15.75">
      <c r="A330" s="42" t="s">
        <v>1903</v>
      </c>
      <c r="B330" s="116">
        <f>P330</f>
        <v>2.4E-2</v>
      </c>
      <c r="C330" t="s">
        <v>113</v>
      </c>
      <c r="D330" s="111" t="s">
        <v>2</v>
      </c>
      <c r="E330" t="s">
        <v>29</v>
      </c>
      <c r="F330" t="s">
        <v>14</v>
      </c>
      <c r="G330" t="s">
        <v>33</v>
      </c>
      <c r="H330">
        <v>1</v>
      </c>
      <c r="I330" s="116">
        <f t="shared" si="37"/>
        <v>2.4E-2</v>
      </c>
      <c r="J330">
        <v>2.8722813232690055E-2</v>
      </c>
      <c r="K330" t="s">
        <v>31</v>
      </c>
      <c r="L330" t="s">
        <v>31</v>
      </c>
      <c r="M330" t="s">
        <v>31</v>
      </c>
      <c r="O330" s="136" t="s">
        <v>817</v>
      </c>
      <c r="P330" s="189">
        <v>2.4E-2</v>
      </c>
    </row>
    <row r="331" spans="1:20" ht="15.75">
      <c r="A331" s="42" t="s">
        <v>1815</v>
      </c>
      <c r="B331">
        <f>R331</f>
        <v>0.248</v>
      </c>
      <c r="C331" t="s">
        <v>221</v>
      </c>
      <c r="D331" s="111" t="s">
        <v>2</v>
      </c>
      <c r="E331" t="s">
        <v>29</v>
      </c>
      <c r="F331" t="s">
        <v>14</v>
      </c>
      <c r="G331" t="s">
        <v>33</v>
      </c>
      <c r="H331">
        <v>1</v>
      </c>
      <c r="I331" s="116">
        <f t="shared" si="37"/>
        <v>0.248</v>
      </c>
      <c r="J331">
        <v>2.8722813232690055E-2</v>
      </c>
      <c r="K331" t="s">
        <v>31</v>
      </c>
      <c r="L331" t="s">
        <v>31</v>
      </c>
      <c r="M331" t="s">
        <v>31</v>
      </c>
      <c r="O331" s="136" t="s">
        <v>575</v>
      </c>
      <c r="P331" s="182">
        <v>248</v>
      </c>
      <c r="Q331" t="s">
        <v>221</v>
      </c>
      <c r="R331">
        <f>P331*0.001</f>
        <v>0.248</v>
      </c>
    </row>
    <row r="332" spans="1:20" ht="15.75">
      <c r="A332" s="106" t="s">
        <v>38</v>
      </c>
      <c r="B332" s="113">
        <f>P332</f>
        <v>0.02</v>
      </c>
      <c r="C332" t="s">
        <v>39</v>
      </c>
      <c r="D332" s="17" t="s">
        <v>40</v>
      </c>
      <c r="E332" t="s">
        <v>29</v>
      </c>
      <c r="F332" s="104" t="s">
        <v>35</v>
      </c>
      <c r="G332" t="s">
        <v>33</v>
      </c>
      <c r="H332">
        <v>2</v>
      </c>
      <c r="I332">
        <f t="shared" ref="I332:I334" si="38">LN(B332)</f>
        <v>-3.912023005428146</v>
      </c>
      <c r="J332">
        <v>0.20928449536456342</v>
      </c>
      <c r="K332" t="s">
        <v>31</v>
      </c>
      <c r="L332" t="s">
        <v>31</v>
      </c>
      <c r="M332" t="s">
        <v>31</v>
      </c>
      <c r="O332" s="119" t="s">
        <v>216</v>
      </c>
      <c r="P332" s="175">
        <v>0.02</v>
      </c>
    </row>
    <row r="333" spans="1:20" ht="15.75">
      <c r="A333" s="106" t="s">
        <v>38</v>
      </c>
      <c r="B333" s="113">
        <f>P333</f>
        <v>1.41</v>
      </c>
      <c r="C333" t="s">
        <v>39</v>
      </c>
      <c r="D333" s="17" t="s">
        <v>40</v>
      </c>
      <c r="E333" t="s">
        <v>29</v>
      </c>
      <c r="F333" s="104" t="s">
        <v>35</v>
      </c>
      <c r="G333" t="s">
        <v>33</v>
      </c>
      <c r="H333">
        <v>2</v>
      </c>
      <c r="I333">
        <f t="shared" si="38"/>
        <v>0.34358970439007686</v>
      </c>
      <c r="J333">
        <v>0.20928449536456342</v>
      </c>
      <c r="K333" t="s">
        <v>31</v>
      </c>
      <c r="L333" t="s">
        <v>31</v>
      </c>
      <c r="M333" t="s">
        <v>31</v>
      </c>
      <c r="O333" s="119" t="s">
        <v>216</v>
      </c>
      <c r="P333" s="120">
        <v>1.41</v>
      </c>
    </row>
    <row r="334" spans="1:20" ht="15.75">
      <c r="A334" s="106" t="s">
        <v>38</v>
      </c>
      <c r="B334" s="113">
        <f>P334</f>
        <v>0.36</v>
      </c>
      <c r="C334" t="s">
        <v>39</v>
      </c>
      <c r="D334" s="17" t="s">
        <v>40</v>
      </c>
      <c r="E334" t="s">
        <v>29</v>
      </c>
      <c r="F334" s="104" t="s">
        <v>35</v>
      </c>
      <c r="G334" t="s">
        <v>33</v>
      </c>
      <c r="H334">
        <v>2</v>
      </c>
      <c r="I334">
        <f t="shared" si="38"/>
        <v>-1.0216512475319814</v>
      </c>
      <c r="J334">
        <v>9.6436507609929598E-2</v>
      </c>
      <c r="K334" t="s">
        <v>31</v>
      </c>
      <c r="L334" t="s">
        <v>31</v>
      </c>
      <c r="M334" t="s">
        <v>31</v>
      </c>
      <c r="O334" s="119" t="s">
        <v>216</v>
      </c>
      <c r="P334" s="120">
        <v>0.36</v>
      </c>
    </row>
    <row r="335" spans="1:20">
      <c r="A335" s="47" t="s">
        <v>683</v>
      </c>
      <c r="B335" s="116">
        <f>R335</f>
        <v>2E-3</v>
      </c>
      <c r="C335" t="s">
        <v>37</v>
      </c>
      <c r="D335" t="s">
        <v>40</v>
      </c>
      <c r="E335" t="s">
        <v>29</v>
      </c>
      <c r="F335" t="s">
        <v>35</v>
      </c>
      <c r="G335" t="s">
        <v>33</v>
      </c>
      <c r="H335">
        <v>2</v>
      </c>
      <c r="I335">
        <f>LN(B335)</f>
        <v>-6.2146080984221914</v>
      </c>
      <c r="J335">
        <v>0.20928449536456342</v>
      </c>
      <c r="K335" t="s">
        <v>31</v>
      </c>
      <c r="L335" t="s">
        <v>31</v>
      </c>
      <c r="M335" t="s">
        <v>31</v>
      </c>
      <c r="O335" s="119" t="s">
        <v>575</v>
      </c>
      <c r="P335" s="120">
        <v>2</v>
      </c>
      <c r="Q335" t="s">
        <v>221</v>
      </c>
      <c r="R335">
        <f>P335*0.001</f>
        <v>2E-3</v>
      </c>
    </row>
    <row r="336" spans="1:20" ht="15.75">
      <c r="A336" s="106" t="s">
        <v>792</v>
      </c>
      <c r="B336" s="116">
        <f>P336</f>
        <v>0.02</v>
      </c>
      <c r="C336" t="s">
        <v>37</v>
      </c>
      <c r="D336" s="17" t="s">
        <v>40</v>
      </c>
      <c r="E336" t="s">
        <v>29</v>
      </c>
      <c r="F336" s="104" t="s">
        <v>741</v>
      </c>
      <c r="G336" t="s">
        <v>33</v>
      </c>
      <c r="H336">
        <v>2</v>
      </c>
      <c r="I336">
        <f>LN(B336)</f>
        <v>-3.912023005428146</v>
      </c>
      <c r="J336">
        <v>0.20928449536456342</v>
      </c>
      <c r="K336" t="s">
        <v>31</v>
      </c>
      <c r="L336" t="s">
        <v>31</v>
      </c>
      <c r="M336" t="s">
        <v>31</v>
      </c>
      <c r="O336" s="119" t="s">
        <v>221</v>
      </c>
      <c r="P336" s="175">
        <v>0.02</v>
      </c>
    </row>
    <row r="337" spans="1:20" ht="15.75">
      <c r="A337" s="47" t="s">
        <v>542</v>
      </c>
      <c r="B337" s="180">
        <f>R337</f>
        <v>3.6000000000000003E-3</v>
      </c>
      <c r="C337" t="s">
        <v>37</v>
      </c>
      <c r="D337" s="17" t="s">
        <v>40</v>
      </c>
      <c r="E337" t="s">
        <v>29</v>
      </c>
      <c r="F337" s="104" t="s">
        <v>128</v>
      </c>
      <c r="G337" t="s">
        <v>33</v>
      </c>
      <c r="H337">
        <v>2</v>
      </c>
      <c r="I337">
        <f>LN(B337)</f>
        <v>-5.6268214335200728</v>
      </c>
      <c r="J337">
        <v>0.20928449536456342</v>
      </c>
      <c r="K337" t="s">
        <v>31</v>
      </c>
      <c r="L337" t="s">
        <v>31</v>
      </c>
      <c r="M337" t="s">
        <v>31</v>
      </c>
      <c r="O337" s="119" t="s">
        <v>575</v>
      </c>
      <c r="P337" s="120">
        <v>3.6</v>
      </c>
      <c r="Q337" t="s">
        <v>221</v>
      </c>
      <c r="R337">
        <f>P337*0.001</f>
        <v>3.6000000000000003E-3</v>
      </c>
    </row>
    <row r="338" spans="1:20">
      <c r="A338" s="47" t="s">
        <v>530</v>
      </c>
      <c r="B338">
        <f>R338</f>
        <v>6.0000000000000001E-3</v>
      </c>
      <c r="C338" t="s">
        <v>37</v>
      </c>
      <c r="D338" t="s">
        <v>40</v>
      </c>
      <c r="E338" t="s">
        <v>29</v>
      </c>
      <c r="F338" t="s">
        <v>35</v>
      </c>
      <c r="G338" t="s">
        <v>33</v>
      </c>
      <c r="H338">
        <v>2</v>
      </c>
      <c r="I338">
        <f>LN(B338)</f>
        <v>-5.1159958097540823</v>
      </c>
      <c r="J338">
        <v>0.20928449536456342</v>
      </c>
      <c r="K338" t="s">
        <v>31</v>
      </c>
      <c r="L338" t="s">
        <v>31</v>
      </c>
      <c r="M338" t="s">
        <v>31</v>
      </c>
      <c r="O338" s="119" t="s">
        <v>575</v>
      </c>
      <c r="P338" s="120">
        <v>6</v>
      </c>
      <c r="Q338" t="s">
        <v>221</v>
      </c>
      <c r="R338">
        <f>P338*0.001</f>
        <v>6.0000000000000001E-3</v>
      </c>
    </row>
    <row r="339" spans="1:20" ht="15.75">
      <c r="A339" s="106" t="s">
        <v>480</v>
      </c>
      <c r="B339">
        <f>P339</f>
        <v>4.2</v>
      </c>
      <c r="C339" t="s">
        <v>37</v>
      </c>
      <c r="D339" s="17" t="s">
        <v>40</v>
      </c>
      <c r="E339" t="s">
        <v>29</v>
      </c>
      <c r="F339" s="104" t="s">
        <v>35</v>
      </c>
      <c r="G339" t="s">
        <v>33</v>
      </c>
      <c r="H339">
        <v>2</v>
      </c>
      <c r="I339">
        <f t="shared" ref="I339:I340" si="39">LN(B339)</f>
        <v>1.4350845252893227</v>
      </c>
      <c r="J339">
        <v>0.20928449536456342</v>
      </c>
      <c r="K339" t="s">
        <v>31</v>
      </c>
      <c r="L339" t="s">
        <v>31</v>
      </c>
      <c r="M339" t="s">
        <v>31</v>
      </c>
      <c r="O339" s="119" t="s">
        <v>221</v>
      </c>
      <c r="P339" s="120">
        <v>4.2</v>
      </c>
    </row>
    <row r="340" spans="1:20" ht="15.75">
      <c r="A340" s="17" t="s">
        <v>1808</v>
      </c>
      <c r="B340" s="116">
        <f>P340</f>
        <v>1.2E-2</v>
      </c>
      <c r="C340" t="s">
        <v>37</v>
      </c>
      <c r="D340" s="111" t="s">
        <v>2</v>
      </c>
      <c r="E340" t="s">
        <v>29</v>
      </c>
      <c r="F340" s="104" t="s">
        <v>741</v>
      </c>
      <c r="G340" t="s">
        <v>33</v>
      </c>
      <c r="H340">
        <v>2</v>
      </c>
      <c r="I340">
        <f t="shared" si="39"/>
        <v>-4.4228486291941369</v>
      </c>
      <c r="J340">
        <v>0.20928449536456342</v>
      </c>
      <c r="K340" t="s">
        <v>31</v>
      </c>
      <c r="L340" t="s">
        <v>31</v>
      </c>
      <c r="M340" t="s">
        <v>31</v>
      </c>
      <c r="O340" s="154" t="s">
        <v>221</v>
      </c>
      <c r="P340" s="196">
        <v>1.2E-2</v>
      </c>
    </row>
    <row r="341" spans="1:20" s="41" customFormat="1" ht="15.75">
      <c r="A341" s="99" t="s">
        <v>5</v>
      </c>
      <c r="B341" s="108" t="s">
        <v>1903</v>
      </c>
      <c r="P341" s="184"/>
    </row>
    <row r="342" spans="1:20">
      <c r="A342" s="101" t="s">
        <v>7</v>
      </c>
      <c r="B342" t="s">
        <v>1807</v>
      </c>
      <c r="C342" s="102"/>
    </row>
    <row r="343" spans="1:20">
      <c r="A343" s="114" t="s">
        <v>9</v>
      </c>
      <c r="B343" t="s">
        <v>1904</v>
      </c>
      <c r="C343" s="102"/>
    </row>
    <row r="344" spans="1:20" ht="15.75" customHeight="1">
      <c r="A344" s="101" t="s">
        <v>11</v>
      </c>
      <c r="B344" s="103" t="s">
        <v>789</v>
      </c>
    </row>
    <row r="345" spans="1:20">
      <c r="A345" s="101" t="s">
        <v>13</v>
      </c>
      <c r="B345" t="s">
        <v>14</v>
      </c>
    </row>
    <row r="346" spans="1:20">
      <c r="A346" s="101" t="s">
        <v>15</v>
      </c>
      <c r="B346" s="116">
        <f>B351</f>
        <v>2.4E-2</v>
      </c>
    </row>
    <row r="347" spans="1:20">
      <c r="A347" s="101" t="s">
        <v>16</v>
      </c>
      <c r="B347" t="s">
        <v>17</v>
      </c>
    </row>
    <row r="348" spans="1:20">
      <c r="A348" s="101" t="s">
        <v>18</v>
      </c>
      <c r="B348" t="s">
        <v>113</v>
      </c>
    </row>
    <row r="349" spans="1:20" ht="15.75">
      <c r="A349" s="105" t="s">
        <v>19</v>
      </c>
    </row>
    <row r="350" spans="1:20" ht="15.75">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6"/>
    </row>
    <row r="351" spans="1:20" ht="15.75">
      <c r="A351" s="42" t="s">
        <v>1903</v>
      </c>
      <c r="B351" s="116">
        <f>P351</f>
        <v>2.4E-2</v>
      </c>
      <c r="C351" t="s">
        <v>113</v>
      </c>
      <c r="D351" s="111" t="s">
        <v>2</v>
      </c>
      <c r="E351" t="s">
        <v>29</v>
      </c>
      <c r="F351" t="s">
        <v>14</v>
      </c>
      <c r="G351" t="s">
        <v>30</v>
      </c>
      <c r="H351">
        <v>1</v>
      </c>
      <c r="I351" s="116">
        <f>B351</f>
        <v>2.4E-2</v>
      </c>
      <c r="J351" t="s">
        <v>31</v>
      </c>
      <c r="K351" t="s">
        <v>31</v>
      </c>
      <c r="L351" t="s">
        <v>31</v>
      </c>
      <c r="M351" t="s">
        <v>31</v>
      </c>
      <c r="O351" s="136" t="s">
        <v>817</v>
      </c>
      <c r="P351" s="184">
        <v>2.4E-2</v>
      </c>
    </row>
    <row r="352" spans="1:20">
      <c r="A352" s="47" t="s">
        <v>842</v>
      </c>
      <c r="B352">
        <f>P352</f>
        <v>0.05</v>
      </c>
      <c r="C352" t="s">
        <v>37</v>
      </c>
      <c r="D352" t="s">
        <v>40</v>
      </c>
      <c r="E352" t="s">
        <v>29</v>
      </c>
      <c r="F352" t="s">
        <v>128</v>
      </c>
      <c r="G352" t="s">
        <v>33</v>
      </c>
      <c r="H352">
        <v>2</v>
      </c>
      <c r="I352">
        <f t="shared" ref="I352:I362" si="40">LN(B352)</f>
        <v>-2.9957322735539909</v>
      </c>
      <c r="J352" s="151">
        <v>0.22516660498395411</v>
      </c>
      <c r="K352" t="s">
        <v>31</v>
      </c>
      <c r="L352" t="s">
        <v>31</v>
      </c>
      <c r="M352" t="s">
        <v>31</v>
      </c>
      <c r="O352" s="119" t="s">
        <v>221</v>
      </c>
      <c r="P352" s="120">
        <v>0.05</v>
      </c>
    </row>
    <row r="353" spans="1:18" ht="15.75">
      <c r="A353" s="106" t="s">
        <v>38</v>
      </c>
      <c r="B353" s="113">
        <f>P353</f>
        <v>0.5</v>
      </c>
      <c r="C353" t="s">
        <v>39</v>
      </c>
      <c r="D353" s="17" t="s">
        <v>40</v>
      </c>
      <c r="E353" t="s">
        <v>29</v>
      </c>
      <c r="F353" s="104" t="s">
        <v>35</v>
      </c>
      <c r="G353" t="s">
        <v>33</v>
      </c>
      <c r="H353">
        <v>2</v>
      </c>
      <c r="I353">
        <f t="shared" si="40"/>
        <v>-0.69314718055994529</v>
      </c>
      <c r="J353" s="151">
        <v>0.22516660498395411</v>
      </c>
      <c r="K353" t="s">
        <v>31</v>
      </c>
      <c r="L353" t="s">
        <v>31</v>
      </c>
      <c r="M353" t="s">
        <v>31</v>
      </c>
      <c r="O353" s="119" t="s">
        <v>216</v>
      </c>
      <c r="P353" s="120">
        <v>0.5</v>
      </c>
    </row>
    <row r="354" spans="1:18" ht="15.75">
      <c r="A354" s="47" t="s">
        <v>958</v>
      </c>
      <c r="B354" s="116">
        <f>R354</f>
        <v>8.3000000000000001E-4</v>
      </c>
      <c r="C354" t="s">
        <v>37</v>
      </c>
      <c r="D354" s="17" t="s">
        <v>40</v>
      </c>
      <c r="E354" t="s">
        <v>29</v>
      </c>
      <c r="F354" t="s">
        <v>35</v>
      </c>
      <c r="G354" t="s">
        <v>33</v>
      </c>
      <c r="H354">
        <v>2</v>
      </c>
      <c r="I354">
        <f t="shared" si="40"/>
        <v>-7.0940848571736304</v>
      </c>
      <c r="J354" s="151">
        <v>0.22516660498395411</v>
      </c>
      <c r="K354" t="s">
        <v>31</v>
      </c>
      <c r="L354" t="s">
        <v>31</v>
      </c>
      <c r="M354" t="s">
        <v>31</v>
      </c>
      <c r="O354" s="119" t="s">
        <v>575</v>
      </c>
      <c r="P354" s="175">
        <v>0.83</v>
      </c>
      <c r="Q354" t="s">
        <v>221</v>
      </c>
      <c r="R354" s="116">
        <f>0.001*P354</f>
        <v>8.3000000000000001E-4</v>
      </c>
    </row>
    <row r="355" spans="1:18" ht="15.75">
      <c r="A355" s="47" t="s">
        <v>959</v>
      </c>
      <c r="B355" s="116">
        <f>P355</f>
        <v>4.1000000000000003E-3</v>
      </c>
      <c r="C355" t="s">
        <v>37</v>
      </c>
      <c r="D355" s="17" t="s">
        <v>40</v>
      </c>
      <c r="E355" t="s">
        <v>29</v>
      </c>
      <c r="F355" t="s">
        <v>35</v>
      </c>
      <c r="G355" t="s">
        <v>33</v>
      </c>
      <c r="H355">
        <v>2</v>
      </c>
      <c r="I355">
        <f t="shared" si="40"/>
        <v>-5.4967683052718748</v>
      </c>
      <c r="J355" s="151">
        <v>0.22516660498395411</v>
      </c>
      <c r="K355" t="s">
        <v>31</v>
      </c>
      <c r="L355" t="s">
        <v>31</v>
      </c>
      <c r="M355" t="s">
        <v>31</v>
      </c>
      <c r="O355" s="119" t="s">
        <v>221</v>
      </c>
      <c r="P355" s="175">
        <v>4.1000000000000003E-3</v>
      </c>
    </row>
    <row r="356" spans="1:18" ht="15.75">
      <c r="A356" s="47" t="s">
        <v>960</v>
      </c>
      <c r="B356" s="116">
        <f>P356</f>
        <v>3.3E-3</v>
      </c>
      <c r="C356" t="s">
        <v>37</v>
      </c>
      <c r="D356" s="17" t="s">
        <v>40</v>
      </c>
      <c r="E356" t="s">
        <v>29</v>
      </c>
      <c r="F356" t="s">
        <v>35</v>
      </c>
      <c r="G356" t="s">
        <v>33</v>
      </c>
      <c r="H356">
        <v>2</v>
      </c>
      <c r="I356">
        <f t="shared" si="40"/>
        <v>-5.7138328105097029</v>
      </c>
      <c r="J356" s="151">
        <v>0.22516660498395411</v>
      </c>
      <c r="K356" t="s">
        <v>31</v>
      </c>
      <c r="L356" t="s">
        <v>31</v>
      </c>
      <c r="M356" t="s">
        <v>31</v>
      </c>
      <c r="O356" s="119" t="s">
        <v>221</v>
      </c>
      <c r="P356" s="175">
        <v>3.3E-3</v>
      </c>
    </row>
    <row r="357" spans="1:18" ht="15.75">
      <c r="A357" s="47" t="s">
        <v>961</v>
      </c>
      <c r="B357" s="116">
        <f>P357</f>
        <v>2.9000000000000001E-2</v>
      </c>
      <c r="C357" t="s">
        <v>37</v>
      </c>
      <c r="D357" s="17" t="s">
        <v>40</v>
      </c>
      <c r="E357" t="s">
        <v>29</v>
      </c>
      <c r="F357" t="s">
        <v>35</v>
      </c>
      <c r="G357" t="s">
        <v>33</v>
      </c>
      <c r="H357">
        <v>2</v>
      </c>
      <c r="I357">
        <f t="shared" si="40"/>
        <v>-3.5404594489956631</v>
      </c>
      <c r="J357" s="151">
        <v>0.22516660498395411</v>
      </c>
      <c r="K357" t="s">
        <v>31</v>
      </c>
      <c r="L357" t="s">
        <v>31</v>
      </c>
      <c r="M357" t="s">
        <v>31</v>
      </c>
      <c r="O357" s="119" t="s">
        <v>221</v>
      </c>
      <c r="P357" s="120">
        <v>2.9000000000000001E-2</v>
      </c>
    </row>
    <row r="358" spans="1:18" ht="15.75">
      <c r="A358" s="47" t="s">
        <v>962</v>
      </c>
      <c r="B358" s="116">
        <f>R358</f>
        <v>1.7000000000000001E-4</v>
      </c>
      <c r="C358" t="s">
        <v>37</v>
      </c>
      <c r="D358" s="17" t="s">
        <v>43</v>
      </c>
      <c r="E358" t="s">
        <v>44</v>
      </c>
      <c r="F358" t="s">
        <v>29</v>
      </c>
      <c r="G358" t="s">
        <v>45</v>
      </c>
      <c r="H358">
        <v>2</v>
      </c>
      <c r="I358">
        <f t="shared" si="40"/>
        <v>-8.6797121209140116</v>
      </c>
      <c r="J358" s="151">
        <v>0.10344080432788608</v>
      </c>
      <c r="K358" t="s">
        <v>31</v>
      </c>
      <c r="L358" t="s">
        <v>31</v>
      </c>
      <c r="M358" t="s">
        <v>31</v>
      </c>
      <c r="O358" s="152" t="s">
        <v>575</v>
      </c>
      <c r="P358" s="153">
        <v>0.17</v>
      </c>
      <c r="Q358" t="s">
        <v>221</v>
      </c>
      <c r="R358" s="116">
        <f>0.001*P358</f>
        <v>1.7000000000000001E-4</v>
      </c>
    </row>
    <row r="359" spans="1:18" ht="15.75">
      <c r="A359" s="47" t="s">
        <v>229</v>
      </c>
      <c r="B359" s="116">
        <f t="shared" ref="B359:B361" si="41">R359</f>
        <v>2E-3</v>
      </c>
      <c r="C359" t="s">
        <v>37</v>
      </c>
      <c r="D359" s="17" t="s">
        <v>43</v>
      </c>
      <c r="E359" t="s">
        <v>44</v>
      </c>
      <c r="F359" t="s">
        <v>29</v>
      </c>
      <c r="G359" t="s">
        <v>45</v>
      </c>
      <c r="H359">
        <v>2</v>
      </c>
      <c r="I359">
        <f t="shared" si="40"/>
        <v>-6.2146080984221914</v>
      </c>
      <c r="J359" s="151">
        <v>0.10344080432788608</v>
      </c>
      <c r="K359" t="s">
        <v>31</v>
      </c>
      <c r="L359" t="s">
        <v>31</v>
      </c>
      <c r="M359" t="s">
        <v>31</v>
      </c>
      <c r="O359" s="152" t="s">
        <v>575</v>
      </c>
      <c r="P359" s="153">
        <v>2</v>
      </c>
      <c r="Q359" t="s">
        <v>221</v>
      </c>
      <c r="R359" s="116">
        <f>0.001*P359</f>
        <v>2E-3</v>
      </c>
    </row>
    <row r="360" spans="1:18" ht="15.75">
      <c r="A360" s="47" t="s">
        <v>963</v>
      </c>
      <c r="B360" s="116">
        <f t="shared" si="41"/>
        <v>1E-3</v>
      </c>
      <c r="C360" t="s">
        <v>37</v>
      </c>
      <c r="D360" s="17" t="s">
        <v>43</v>
      </c>
      <c r="E360" t="s">
        <v>44</v>
      </c>
      <c r="F360" t="s">
        <v>29</v>
      </c>
      <c r="G360" t="s">
        <v>45</v>
      </c>
      <c r="H360">
        <v>2</v>
      </c>
      <c r="I360">
        <f t="shared" si="40"/>
        <v>-6.9077552789821368</v>
      </c>
      <c r="J360" s="151">
        <v>0.10344080432788608</v>
      </c>
      <c r="K360" t="s">
        <v>31</v>
      </c>
      <c r="L360" t="s">
        <v>31</v>
      </c>
      <c r="M360" t="s">
        <v>31</v>
      </c>
      <c r="O360" s="152" t="s">
        <v>575</v>
      </c>
      <c r="P360" s="153">
        <v>1</v>
      </c>
      <c r="Q360" t="s">
        <v>221</v>
      </c>
      <c r="R360" s="116">
        <f>0.001*P360</f>
        <v>1E-3</v>
      </c>
    </row>
    <row r="361" spans="1:18">
      <c r="A361" s="47" t="s">
        <v>760</v>
      </c>
      <c r="B361" s="116">
        <f t="shared" si="41"/>
        <v>6.7000000000000002E-4</v>
      </c>
      <c r="C361" t="s">
        <v>37</v>
      </c>
      <c r="D361" t="s">
        <v>43</v>
      </c>
      <c r="E361" t="s">
        <v>44</v>
      </c>
      <c r="F361" t="s">
        <v>29</v>
      </c>
      <c r="G361" t="s">
        <v>45</v>
      </c>
      <c r="H361">
        <v>2</v>
      </c>
      <c r="I361">
        <f t="shared" si="40"/>
        <v>-7.308232845579262</v>
      </c>
      <c r="J361" s="151">
        <v>0.10344080432788608</v>
      </c>
      <c r="K361" t="s">
        <v>31</v>
      </c>
      <c r="L361" t="s">
        <v>31</v>
      </c>
      <c r="M361" t="s">
        <v>31</v>
      </c>
      <c r="O361" s="152" t="s">
        <v>575</v>
      </c>
      <c r="P361" s="153">
        <v>0.67</v>
      </c>
      <c r="Q361" t="s">
        <v>221</v>
      </c>
      <c r="R361" s="116">
        <f>0.001*P361</f>
        <v>6.7000000000000002E-4</v>
      </c>
    </row>
    <row r="362" spans="1:18" ht="15.75">
      <c r="A362" s="17" t="s">
        <v>1810</v>
      </c>
      <c r="B362" s="116">
        <f>P362</f>
        <v>9.1000000000000004E-3</v>
      </c>
      <c r="C362" t="s">
        <v>37</v>
      </c>
      <c r="D362" s="111" t="s">
        <v>2</v>
      </c>
      <c r="E362" t="s">
        <v>29</v>
      </c>
      <c r="F362" s="104" t="s">
        <v>741</v>
      </c>
      <c r="G362" t="s">
        <v>33</v>
      </c>
      <c r="H362">
        <v>2</v>
      </c>
      <c r="I362">
        <f t="shared" si="40"/>
        <v>-4.699480865459333</v>
      </c>
      <c r="J362">
        <v>0.11269427669584645</v>
      </c>
      <c r="K362" t="s">
        <v>31</v>
      </c>
      <c r="L362" t="s">
        <v>31</v>
      </c>
      <c r="M362" t="s">
        <v>31</v>
      </c>
      <c r="O362" s="154" t="s">
        <v>221</v>
      </c>
      <c r="P362" s="196">
        <v>9.1000000000000004E-3</v>
      </c>
    </row>
    <row r="363" spans="1:18">
      <c r="P363" s="184"/>
    </row>
  </sheetData>
  <pageMargins left="0.7" right="0.7" top="0.75" bottom="0.75" header="0.3" footer="0.3"/>
  <pageSetup paperSize="9" orientation="portrai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3939-1080-4575-B608-CF448237340D}">
  <sheetPr>
    <tabColor theme="8" tint="0.79998168889431442"/>
  </sheetPr>
  <dimension ref="A1:AC41"/>
  <sheetViews>
    <sheetView topLeftCell="B1"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F1B1F778DB8943A797CB859408F8506F</v>
      </c>
    </row>
    <row r="2" spans="1:26" ht="15.75">
      <c r="A2" s="99" t="s">
        <v>5</v>
      </c>
      <c r="B2" s="100" t="s">
        <v>1905</v>
      </c>
      <c r="C2" s="39"/>
      <c r="D2" s="41"/>
      <c r="E2" s="41"/>
      <c r="F2" s="41"/>
      <c r="G2" s="41"/>
      <c r="H2" s="41"/>
      <c r="I2" s="41"/>
      <c r="J2" s="41"/>
      <c r="K2" s="41"/>
      <c r="L2" s="41"/>
      <c r="M2" s="41"/>
    </row>
    <row r="3" spans="1:26">
      <c r="A3" s="101" t="s">
        <v>7</v>
      </c>
      <c r="B3" t="s">
        <v>1807</v>
      </c>
      <c r="C3" s="102"/>
    </row>
    <row r="4" spans="1:26">
      <c r="A4" s="101" t="s">
        <v>9</v>
      </c>
      <c r="B4" t="s">
        <v>1906</v>
      </c>
      <c r="C4" s="102"/>
    </row>
    <row r="5" spans="1:26" ht="30">
      <c r="A5" s="101" t="s">
        <v>11</v>
      </c>
      <c r="B5" s="103" t="s">
        <v>1833</v>
      </c>
    </row>
    <row r="6" spans="1:26">
      <c r="A6" s="101" t="s">
        <v>13</v>
      </c>
      <c r="B6" t="s">
        <v>14</v>
      </c>
    </row>
    <row r="7" spans="1:26">
      <c r="A7" s="101" t="s">
        <v>15</v>
      </c>
      <c r="B7">
        <v>1</v>
      </c>
    </row>
    <row r="8" spans="1:26">
      <c r="A8" s="101" t="s">
        <v>16</v>
      </c>
      <c r="B8" t="s">
        <v>17</v>
      </c>
    </row>
    <row r="9" spans="1:26">
      <c r="A9" s="101" t="s">
        <v>18</v>
      </c>
      <c r="B9" t="s">
        <v>18</v>
      </c>
    </row>
    <row r="10" spans="1:26" ht="15.75">
      <c r="A10" s="105" t="s">
        <v>19</v>
      </c>
    </row>
    <row r="11" spans="1:26" ht="15.75">
      <c r="A11" s="10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75">
      <c r="A12" s="100" t="s">
        <v>1905</v>
      </c>
      <c r="B12">
        <v>1</v>
      </c>
      <c r="C12" t="s">
        <v>18</v>
      </c>
      <c r="D12" s="17" t="s">
        <v>2</v>
      </c>
      <c r="E12" t="s">
        <v>29</v>
      </c>
      <c r="F12" s="104" t="s">
        <v>14</v>
      </c>
      <c r="G12" t="s">
        <v>30</v>
      </c>
      <c r="H12">
        <v>1</v>
      </c>
      <c r="I12">
        <v>1</v>
      </c>
      <c r="J12" t="s">
        <v>31</v>
      </c>
      <c r="K12" t="s">
        <v>31</v>
      </c>
      <c r="L12" t="s">
        <v>31</v>
      </c>
      <c r="M12" t="s">
        <v>31</v>
      </c>
    </row>
    <row r="13" spans="1:26" ht="15.75">
      <c r="A13" s="135" t="s">
        <v>1820</v>
      </c>
      <c r="B13">
        <f>Z13</f>
        <v>7.8E-2</v>
      </c>
      <c r="C13" t="s">
        <v>37</v>
      </c>
      <c r="D13" s="17" t="s">
        <v>2</v>
      </c>
      <c r="E13" t="s">
        <v>29</v>
      </c>
      <c r="F13" s="104" t="s">
        <v>14</v>
      </c>
      <c r="G13" t="s">
        <v>33</v>
      </c>
      <c r="H13">
        <v>1</v>
      </c>
      <c r="I13">
        <f>B13</f>
        <v>7.8E-2</v>
      </c>
      <c r="J13" t="s">
        <v>31</v>
      </c>
      <c r="K13" t="s">
        <v>31</v>
      </c>
      <c r="L13" t="s">
        <v>31</v>
      </c>
      <c r="M13" t="s">
        <v>31</v>
      </c>
      <c r="U13" s="136" t="s">
        <v>965</v>
      </c>
      <c r="V13" s="136" t="s">
        <v>575</v>
      </c>
      <c r="W13" s="137">
        <v>78</v>
      </c>
      <c r="Y13" t="s">
        <v>221</v>
      </c>
      <c r="Z13">
        <f>0.001*W13</f>
        <v>7.8E-2</v>
      </c>
    </row>
    <row r="14" spans="1:26" ht="15.75">
      <c r="A14" s="135" t="s">
        <v>1825</v>
      </c>
      <c r="B14">
        <f t="shared" ref="B14:B20" si="0">Z14</f>
        <v>9.8000000000000004E-2</v>
      </c>
      <c r="C14" t="s">
        <v>37</v>
      </c>
      <c r="D14" s="17" t="s">
        <v>2</v>
      </c>
      <c r="E14" t="s">
        <v>29</v>
      </c>
      <c r="F14" s="104" t="s">
        <v>14</v>
      </c>
      <c r="G14" t="s">
        <v>33</v>
      </c>
      <c r="H14">
        <v>1</v>
      </c>
      <c r="I14">
        <f t="shared" ref="I14:I30" si="1">B14</f>
        <v>9.8000000000000004E-2</v>
      </c>
      <c r="J14" t="s">
        <v>31</v>
      </c>
      <c r="K14" t="s">
        <v>31</v>
      </c>
      <c r="L14" t="s">
        <v>31</v>
      </c>
      <c r="M14" t="s">
        <v>31</v>
      </c>
      <c r="U14" s="136" t="s">
        <v>966</v>
      </c>
      <c r="V14" s="136" t="s">
        <v>575</v>
      </c>
      <c r="W14" s="137">
        <v>98</v>
      </c>
      <c r="Y14" t="s">
        <v>221</v>
      </c>
      <c r="Z14">
        <f>0.001*W14</f>
        <v>9.8000000000000004E-2</v>
      </c>
    </row>
    <row r="15" spans="1:26" ht="15.75">
      <c r="A15" s="138" t="s">
        <v>829</v>
      </c>
      <c r="B15">
        <f t="shared" si="0"/>
        <v>1.72</v>
      </c>
      <c r="C15" t="s">
        <v>37</v>
      </c>
      <c r="D15" s="17" t="s">
        <v>40</v>
      </c>
      <c r="E15" t="s">
        <v>29</v>
      </c>
      <c r="F15" s="104" t="s">
        <v>58</v>
      </c>
      <c r="G15" t="s">
        <v>33</v>
      </c>
      <c r="H15">
        <v>1</v>
      </c>
      <c r="I15">
        <f t="shared" si="1"/>
        <v>1.72</v>
      </c>
      <c r="J15" t="s">
        <v>31</v>
      </c>
      <c r="K15" t="s">
        <v>31</v>
      </c>
      <c r="L15" t="s">
        <v>31</v>
      </c>
      <c r="M15" t="s">
        <v>31</v>
      </c>
      <c r="U15" s="136" t="s">
        <v>967</v>
      </c>
      <c r="V15" s="136" t="s">
        <v>221</v>
      </c>
      <c r="W15" s="137">
        <v>1.72</v>
      </c>
      <c r="Y15" t="s">
        <v>221</v>
      </c>
      <c r="Z15">
        <f>W15</f>
        <v>1.72</v>
      </c>
    </row>
    <row r="16" spans="1:26" ht="15.75">
      <c r="A16" s="135" t="s">
        <v>1907</v>
      </c>
      <c r="B16">
        <f t="shared" si="0"/>
        <v>3.2</v>
      </c>
      <c r="C16" t="s">
        <v>37</v>
      </c>
      <c r="D16" s="17" t="s">
        <v>2</v>
      </c>
      <c r="E16" t="s">
        <v>29</v>
      </c>
      <c r="F16" s="104" t="s">
        <v>14</v>
      </c>
      <c r="G16" t="s">
        <v>33</v>
      </c>
      <c r="H16">
        <v>1</v>
      </c>
      <c r="I16">
        <f t="shared" si="1"/>
        <v>3.2</v>
      </c>
      <c r="J16" t="s">
        <v>31</v>
      </c>
      <c r="K16" t="s">
        <v>31</v>
      </c>
      <c r="L16" t="s">
        <v>31</v>
      </c>
      <c r="M16" t="s">
        <v>31</v>
      </c>
      <c r="U16" s="136" t="s">
        <v>969</v>
      </c>
      <c r="V16" s="136" t="s">
        <v>221</v>
      </c>
      <c r="W16" s="137">
        <v>3.2</v>
      </c>
      <c r="Y16" t="s">
        <v>221</v>
      </c>
      <c r="Z16">
        <f>W16</f>
        <v>3.2</v>
      </c>
    </row>
    <row r="17" spans="1:29" ht="15.75">
      <c r="A17" s="139" t="s">
        <v>1908</v>
      </c>
      <c r="B17">
        <f t="shared" si="0"/>
        <v>4.2241379310344836E-2</v>
      </c>
      <c r="C17" t="s">
        <v>113</v>
      </c>
      <c r="D17" s="17" t="s">
        <v>2</v>
      </c>
      <c r="E17" t="s">
        <v>29</v>
      </c>
      <c r="F17" s="104" t="s">
        <v>14</v>
      </c>
      <c r="G17" t="s">
        <v>33</v>
      </c>
      <c r="H17">
        <v>1</v>
      </c>
      <c r="I17">
        <f t="shared" si="1"/>
        <v>4.2241379310344836E-2</v>
      </c>
      <c r="J17" t="s">
        <v>31</v>
      </c>
      <c r="K17" t="s">
        <v>31</v>
      </c>
      <c r="L17" t="s">
        <v>31</v>
      </c>
      <c r="M17" t="s">
        <v>31</v>
      </c>
      <c r="O17" t="s">
        <v>971</v>
      </c>
      <c r="U17" s="140" t="s">
        <v>972</v>
      </c>
      <c r="V17" s="140" t="s">
        <v>575</v>
      </c>
      <c r="W17" s="137">
        <v>245</v>
      </c>
      <c r="Y17" t="s">
        <v>605</v>
      </c>
      <c r="Z17">
        <f>W17*0.001/AB17</f>
        <v>4.2241379310344836E-2</v>
      </c>
      <c r="AB17">
        <f>B.Reused!O36</f>
        <v>5.7999999999999989</v>
      </c>
      <c r="AC17" t="s">
        <v>886</v>
      </c>
    </row>
    <row r="18" spans="1:29" ht="15.75">
      <c r="A18" s="135" t="s">
        <v>1909</v>
      </c>
      <c r="B18">
        <f t="shared" si="0"/>
        <v>0.40500000000000003</v>
      </c>
      <c r="C18" t="s">
        <v>37</v>
      </c>
      <c r="D18" s="17" t="s">
        <v>2</v>
      </c>
      <c r="E18" t="s">
        <v>29</v>
      </c>
      <c r="F18" s="104" t="s">
        <v>14</v>
      </c>
      <c r="G18" t="s">
        <v>33</v>
      </c>
      <c r="H18">
        <v>1</v>
      </c>
      <c r="I18">
        <f t="shared" si="1"/>
        <v>0.40500000000000003</v>
      </c>
      <c r="J18" t="s">
        <v>31</v>
      </c>
      <c r="K18" t="s">
        <v>31</v>
      </c>
      <c r="L18" t="s">
        <v>31</v>
      </c>
      <c r="M18" t="s">
        <v>31</v>
      </c>
      <c r="U18" s="140" t="s">
        <v>974</v>
      </c>
      <c r="V18" s="136" t="s">
        <v>575</v>
      </c>
      <c r="W18" s="137">
        <v>405</v>
      </c>
      <c r="Y18" t="s">
        <v>221</v>
      </c>
      <c r="Z18">
        <f>0.001*W18</f>
        <v>0.40500000000000003</v>
      </c>
    </row>
    <row r="19" spans="1:29" ht="15.75">
      <c r="A19" s="141" t="s">
        <v>834</v>
      </c>
      <c r="B19">
        <f t="shared" si="0"/>
        <v>2E-3</v>
      </c>
      <c r="C19" t="s">
        <v>37</v>
      </c>
      <c r="D19" s="17" t="s">
        <v>40</v>
      </c>
      <c r="E19" t="s">
        <v>29</v>
      </c>
      <c r="F19" s="104" t="s">
        <v>35</v>
      </c>
      <c r="G19" t="s">
        <v>33</v>
      </c>
      <c r="H19">
        <v>1</v>
      </c>
      <c r="I19">
        <f t="shared" si="1"/>
        <v>2E-3</v>
      </c>
      <c r="J19" t="s">
        <v>31</v>
      </c>
      <c r="K19" t="s">
        <v>31</v>
      </c>
      <c r="L19" t="s">
        <v>31</v>
      </c>
      <c r="M19" t="s">
        <v>31</v>
      </c>
      <c r="N19" s="106" t="s">
        <v>835</v>
      </c>
      <c r="U19" s="136" t="s">
        <v>835</v>
      </c>
      <c r="V19" s="136" t="s">
        <v>575</v>
      </c>
      <c r="W19" s="137">
        <v>2</v>
      </c>
      <c r="Y19" t="s">
        <v>221</v>
      </c>
      <c r="Z19">
        <f>0.001*W19</f>
        <v>2E-3</v>
      </c>
    </row>
    <row r="20" spans="1:29" ht="15.75">
      <c r="A20" s="142" t="s">
        <v>601</v>
      </c>
      <c r="B20">
        <f t="shared" si="0"/>
        <v>1.3000000000000001E-2</v>
      </c>
      <c r="C20" t="s">
        <v>37</v>
      </c>
      <c r="D20" s="17" t="s">
        <v>40</v>
      </c>
      <c r="E20" t="s">
        <v>29</v>
      </c>
      <c r="F20" s="104" t="s">
        <v>35</v>
      </c>
      <c r="G20" t="s">
        <v>33</v>
      </c>
      <c r="H20">
        <v>1</v>
      </c>
      <c r="I20">
        <f t="shared" si="1"/>
        <v>1.3000000000000001E-2</v>
      </c>
      <c r="J20" t="s">
        <v>31</v>
      </c>
      <c r="K20" t="s">
        <v>31</v>
      </c>
      <c r="L20" t="s">
        <v>31</v>
      </c>
      <c r="M20" t="s">
        <v>31</v>
      </c>
      <c r="N20" s="106" t="s">
        <v>836</v>
      </c>
      <c r="U20" s="140" t="s">
        <v>836</v>
      </c>
      <c r="V20" s="136" t="s">
        <v>575</v>
      </c>
      <c r="W20" s="137">
        <v>13</v>
      </c>
      <c r="Y20" t="s">
        <v>221</v>
      </c>
      <c r="Z20">
        <f t="shared" ref="Z20:Z22" si="2">0.001*W20</f>
        <v>1.3000000000000001E-2</v>
      </c>
    </row>
    <row r="21" spans="1:29" ht="15.75">
      <c r="A21" s="141" t="s">
        <v>834</v>
      </c>
      <c r="B21">
        <f>Z21</f>
        <v>2E-3</v>
      </c>
      <c r="C21" t="s">
        <v>37</v>
      </c>
      <c r="D21" s="17" t="s">
        <v>40</v>
      </c>
      <c r="E21" t="s">
        <v>29</v>
      </c>
      <c r="F21" s="104" t="s">
        <v>35</v>
      </c>
      <c r="G21" t="s">
        <v>33</v>
      </c>
      <c r="H21">
        <v>1</v>
      </c>
      <c r="I21">
        <f t="shared" si="1"/>
        <v>2E-3</v>
      </c>
      <c r="J21" t="s">
        <v>31</v>
      </c>
      <c r="K21" t="s">
        <v>31</v>
      </c>
      <c r="L21" t="s">
        <v>31</v>
      </c>
      <c r="M21" t="s">
        <v>31</v>
      </c>
      <c r="N21" s="106" t="s">
        <v>837</v>
      </c>
      <c r="U21" s="140" t="s">
        <v>837</v>
      </c>
      <c r="V21" s="136" t="s">
        <v>575</v>
      </c>
      <c r="W21" s="137">
        <v>2</v>
      </c>
      <c r="Y21" t="s">
        <v>221</v>
      </c>
      <c r="Z21">
        <f t="shared" si="2"/>
        <v>2E-3</v>
      </c>
    </row>
    <row r="22" spans="1:29" ht="15.75">
      <c r="A22" s="142" t="s">
        <v>975</v>
      </c>
      <c r="B22">
        <f>Z22</f>
        <v>2E-3</v>
      </c>
      <c r="C22" t="s">
        <v>37</v>
      </c>
      <c r="D22" s="17" t="s">
        <v>40</v>
      </c>
      <c r="E22" t="s">
        <v>29</v>
      </c>
      <c r="F22" s="104" t="s">
        <v>35</v>
      </c>
      <c r="G22" t="s">
        <v>33</v>
      </c>
      <c r="H22">
        <v>1</v>
      </c>
      <c r="I22">
        <f t="shared" si="1"/>
        <v>2E-3</v>
      </c>
      <c r="J22" t="s">
        <v>31</v>
      </c>
      <c r="K22" t="s">
        <v>31</v>
      </c>
      <c r="L22" t="s">
        <v>31</v>
      </c>
      <c r="M22" t="s">
        <v>31</v>
      </c>
      <c r="N22" s="106" t="s">
        <v>837</v>
      </c>
      <c r="U22" s="140" t="s">
        <v>837</v>
      </c>
      <c r="V22" s="136" t="s">
        <v>575</v>
      </c>
      <c r="W22" s="137">
        <v>2</v>
      </c>
      <c r="Y22" t="s">
        <v>221</v>
      </c>
      <c r="Z22">
        <f t="shared" si="2"/>
        <v>2E-3</v>
      </c>
    </row>
    <row r="23" spans="1:29" ht="15.75">
      <c r="A23" s="138" t="s">
        <v>1817</v>
      </c>
      <c r="B23">
        <f>Z23</f>
        <v>2.3199999999999998</v>
      </c>
      <c r="C23" t="s">
        <v>37</v>
      </c>
      <c r="D23" s="17" t="s">
        <v>2</v>
      </c>
      <c r="E23" t="s">
        <v>29</v>
      </c>
      <c r="F23" s="104" t="s">
        <v>14</v>
      </c>
      <c r="G23" t="s">
        <v>33</v>
      </c>
      <c r="H23">
        <v>1</v>
      </c>
      <c r="I23">
        <f t="shared" si="1"/>
        <v>2.3199999999999998</v>
      </c>
      <c r="J23" t="s">
        <v>31</v>
      </c>
      <c r="K23" t="s">
        <v>31</v>
      </c>
      <c r="L23" t="s">
        <v>31</v>
      </c>
      <c r="M23" t="s">
        <v>31</v>
      </c>
      <c r="N23" s="106" t="s">
        <v>1817</v>
      </c>
      <c r="U23" s="136" t="s">
        <v>1817</v>
      </c>
      <c r="V23" s="136" t="s">
        <v>221</v>
      </c>
      <c r="W23" s="137">
        <v>2.3199999999999998</v>
      </c>
      <c r="Y23" t="s">
        <v>221</v>
      </c>
      <c r="Z23">
        <f>W23</f>
        <v>2.3199999999999998</v>
      </c>
    </row>
    <row r="24" spans="1:29" ht="15.75">
      <c r="A24" s="135" t="s">
        <v>1837</v>
      </c>
      <c r="B24" s="23">
        <f>'B. Machined casing'!B7</f>
        <v>8.52</v>
      </c>
      <c r="C24" t="s">
        <v>37</v>
      </c>
      <c r="D24" s="17" t="s">
        <v>2</v>
      </c>
      <c r="E24" t="s">
        <v>29</v>
      </c>
      <c r="F24" s="104" t="s">
        <v>14</v>
      </c>
      <c r="G24" t="s">
        <v>33</v>
      </c>
      <c r="H24">
        <v>1</v>
      </c>
      <c r="I24">
        <f t="shared" si="1"/>
        <v>8.52</v>
      </c>
      <c r="J24" t="s">
        <v>31</v>
      </c>
      <c r="K24" t="s">
        <v>31</v>
      </c>
      <c r="L24" t="s">
        <v>31</v>
      </c>
      <c r="M24" t="s">
        <v>31</v>
      </c>
      <c r="N24" s="106" t="s">
        <v>840</v>
      </c>
      <c r="U24" s="136" t="s">
        <v>979</v>
      </c>
      <c r="V24" s="143" t="s">
        <v>221</v>
      </c>
      <c r="W24" s="137">
        <v>8.57</v>
      </c>
      <c r="Y24" t="s">
        <v>221</v>
      </c>
      <c r="Z24">
        <f>W24</f>
        <v>8.57</v>
      </c>
    </row>
    <row r="25" spans="1:29" ht="15.75">
      <c r="A25" s="144" t="s">
        <v>842</v>
      </c>
      <c r="B25">
        <f t="shared" ref="B25:B27" si="3">Z25</f>
        <v>5.3999999999999999E-2</v>
      </c>
      <c r="C25" t="s">
        <v>37</v>
      </c>
      <c r="D25" s="17" t="s">
        <v>40</v>
      </c>
      <c r="E25" t="s">
        <v>29</v>
      </c>
      <c r="F25" s="104" t="s">
        <v>128</v>
      </c>
      <c r="G25" t="s">
        <v>33</v>
      </c>
      <c r="H25">
        <v>1</v>
      </c>
      <c r="I25">
        <f t="shared" si="1"/>
        <v>5.3999999999999999E-2</v>
      </c>
      <c r="J25" t="s">
        <v>31</v>
      </c>
      <c r="K25" t="s">
        <v>31</v>
      </c>
      <c r="L25" t="s">
        <v>31</v>
      </c>
      <c r="M25" t="s">
        <v>31</v>
      </c>
      <c r="N25" s="106" t="s">
        <v>843</v>
      </c>
      <c r="U25" s="119" t="s">
        <v>843</v>
      </c>
      <c r="V25" s="119" t="s">
        <v>575</v>
      </c>
      <c r="W25" s="145">
        <v>54</v>
      </c>
      <c r="Y25" t="s">
        <v>221</v>
      </c>
      <c r="Z25">
        <f>W25*0.001</f>
        <v>5.3999999999999999E-2</v>
      </c>
    </row>
    <row r="26" spans="1:29" ht="15.75">
      <c r="A26" s="144" t="s">
        <v>844</v>
      </c>
      <c r="B26">
        <f t="shared" si="3"/>
        <v>1.2E-2</v>
      </c>
      <c r="C26" t="s">
        <v>37</v>
      </c>
      <c r="D26" s="17" t="s">
        <v>40</v>
      </c>
      <c r="E26" t="s">
        <v>29</v>
      </c>
      <c r="F26" s="104" t="s">
        <v>58</v>
      </c>
      <c r="G26" t="s">
        <v>33</v>
      </c>
      <c r="H26">
        <v>1</v>
      </c>
      <c r="I26">
        <f t="shared" si="1"/>
        <v>1.2E-2</v>
      </c>
      <c r="J26" t="s">
        <v>31</v>
      </c>
      <c r="K26" t="s">
        <v>31</v>
      </c>
      <c r="L26" t="s">
        <v>31</v>
      </c>
      <c r="M26" t="s">
        <v>31</v>
      </c>
      <c r="N26" t="s">
        <v>845</v>
      </c>
      <c r="U26" s="119" t="s">
        <v>845</v>
      </c>
      <c r="V26" s="119" t="s">
        <v>575</v>
      </c>
      <c r="W26" s="145">
        <v>12</v>
      </c>
      <c r="Y26" t="s">
        <v>221</v>
      </c>
      <c r="Z26">
        <f>0.001*W26</f>
        <v>1.2E-2</v>
      </c>
    </row>
    <row r="27" spans="1:29" ht="15.75">
      <c r="A27" s="144" t="s">
        <v>601</v>
      </c>
      <c r="B27">
        <f t="shared" si="3"/>
        <v>1.2E-2</v>
      </c>
      <c r="C27" t="s">
        <v>37</v>
      </c>
      <c r="D27" s="17" t="s">
        <v>40</v>
      </c>
      <c r="E27" t="s">
        <v>29</v>
      </c>
      <c r="F27" s="104" t="s">
        <v>35</v>
      </c>
      <c r="G27" t="s">
        <v>33</v>
      </c>
      <c r="H27">
        <v>1</v>
      </c>
      <c r="I27">
        <f t="shared" si="1"/>
        <v>1.2E-2</v>
      </c>
      <c r="J27" t="s">
        <v>31</v>
      </c>
      <c r="K27" t="s">
        <v>31</v>
      </c>
      <c r="L27" t="s">
        <v>31</v>
      </c>
      <c r="M27" t="s">
        <v>31</v>
      </c>
      <c r="N27" t="s">
        <v>846</v>
      </c>
      <c r="U27" s="119" t="s">
        <v>846</v>
      </c>
      <c r="V27" s="119" t="s">
        <v>575</v>
      </c>
      <c r="W27" s="145">
        <v>12</v>
      </c>
      <c r="Y27" t="s">
        <v>221</v>
      </c>
      <c r="Z27">
        <f>0.001*W27</f>
        <v>1.2E-2</v>
      </c>
    </row>
    <row r="28" spans="1:29" ht="15.75">
      <c r="A28" s="146" t="s">
        <v>38</v>
      </c>
      <c r="B28">
        <f>1.3+0.6</f>
        <v>1.9</v>
      </c>
      <c r="C28" t="s">
        <v>39</v>
      </c>
      <c r="D28" s="17" t="s">
        <v>40</v>
      </c>
      <c r="E28" t="s">
        <v>29</v>
      </c>
      <c r="F28" t="s">
        <v>14</v>
      </c>
      <c r="G28" t="s">
        <v>33</v>
      </c>
      <c r="H28">
        <v>1</v>
      </c>
      <c r="I28">
        <f t="shared" si="1"/>
        <v>1.9</v>
      </c>
      <c r="J28" t="s">
        <v>31</v>
      </c>
      <c r="K28" t="s">
        <v>31</v>
      </c>
      <c r="L28" t="s">
        <v>31</v>
      </c>
      <c r="M28" t="s">
        <v>31</v>
      </c>
      <c r="N28" t="s">
        <v>980</v>
      </c>
      <c r="U28" s="136"/>
      <c r="V28" s="143"/>
      <c r="W28" s="137"/>
    </row>
    <row r="29" spans="1:29" ht="15.75">
      <c r="A29" s="146" t="s">
        <v>38</v>
      </c>
      <c r="B29">
        <v>4.9000000000000004</v>
      </c>
      <c r="C29" t="s">
        <v>39</v>
      </c>
      <c r="D29" s="17" t="s">
        <v>40</v>
      </c>
      <c r="E29" t="s">
        <v>29</v>
      </c>
      <c r="F29" t="s">
        <v>14</v>
      </c>
      <c r="G29" t="s">
        <v>33</v>
      </c>
      <c r="H29">
        <v>1</v>
      </c>
      <c r="I29">
        <f t="shared" si="1"/>
        <v>4.9000000000000004</v>
      </c>
      <c r="J29" t="s">
        <v>31</v>
      </c>
      <c r="K29" t="s">
        <v>31</v>
      </c>
      <c r="L29" t="s">
        <v>31</v>
      </c>
      <c r="M29" t="s">
        <v>31</v>
      </c>
      <c r="N29" t="s">
        <v>848</v>
      </c>
    </row>
    <row r="30" spans="1:29" ht="15.75">
      <c r="A30" s="146" t="s">
        <v>38</v>
      </c>
      <c r="B30">
        <v>1.5</v>
      </c>
      <c r="C30" t="s">
        <v>39</v>
      </c>
      <c r="D30" s="17" t="s">
        <v>40</v>
      </c>
      <c r="E30" t="s">
        <v>29</v>
      </c>
      <c r="F30" t="s">
        <v>14</v>
      </c>
      <c r="G30" t="s">
        <v>33</v>
      </c>
      <c r="H30">
        <v>1</v>
      </c>
      <c r="I30">
        <f t="shared" si="1"/>
        <v>1.5</v>
      </c>
      <c r="J30" t="s">
        <v>31</v>
      </c>
      <c r="K30" t="s">
        <v>31</v>
      </c>
      <c r="L30" t="s">
        <v>31</v>
      </c>
      <c r="M30" t="s">
        <v>31</v>
      </c>
      <c r="N30" t="s">
        <v>849</v>
      </c>
    </row>
    <row r="31" spans="1:29" ht="15.75">
      <c r="A31" s="99"/>
      <c r="B31" s="100"/>
      <c r="C31" s="39"/>
      <c r="D31" s="41"/>
      <c r="E31" s="41"/>
      <c r="F31" s="41"/>
      <c r="G31" s="41"/>
      <c r="H31" s="41"/>
      <c r="I31" s="41"/>
      <c r="J31" s="41"/>
      <c r="K31" s="41"/>
      <c r="L31" s="41"/>
      <c r="M31" s="41"/>
    </row>
    <row r="32" spans="1:29">
      <c r="A32" s="101"/>
      <c r="C32" s="102"/>
      <c r="N32" t="s">
        <v>1910</v>
      </c>
    </row>
    <row r="33" spans="1:14">
      <c r="A33" s="101"/>
      <c r="C33" s="102"/>
      <c r="N33" s="147">
        <f>SUM(B13:B27)-B17+0.245</f>
        <v>16.683</v>
      </c>
    </row>
    <row r="34" spans="1:14">
      <c r="A34" s="101"/>
      <c r="B34" s="103"/>
    </row>
    <row r="35" spans="1:14" ht="15.75">
      <c r="A35" s="106"/>
      <c r="D35" s="17"/>
      <c r="F35" s="104"/>
    </row>
    <row r="36" spans="1:14" ht="15.75">
      <c r="D36" s="17"/>
      <c r="F36" s="104"/>
    </row>
    <row r="37" spans="1:14" ht="15.75">
      <c r="A37" s="106"/>
      <c r="D37" s="17"/>
      <c r="F37" s="104"/>
    </row>
    <row r="38" spans="1:14" ht="15.75">
      <c r="A38" s="106"/>
      <c r="D38" s="17"/>
      <c r="F38" s="104"/>
    </row>
    <row r="39" spans="1:14" ht="15.75">
      <c r="A39" s="17"/>
      <c r="D39" s="17"/>
      <c r="F39" s="104"/>
    </row>
    <row r="40" spans="1:14" ht="15.75">
      <c r="A40" s="17"/>
      <c r="D40" s="17"/>
    </row>
    <row r="41" spans="1:14" ht="15.75">
      <c r="A41" s="106"/>
      <c r="D41" s="17"/>
    </row>
  </sheetData>
  <pageMargins left="0.7" right="0.7" top="0.75" bottom="0.75" header="0.3" footer="0.3"/>
  <pageSetup paperSize="9" orientation="portrai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5C0B4-7DD7-4703-9AA3-2B9188074F2B}">
  <sheetPr>
    <tabColor theme="8" tint="0.79998168889431442"/>
  </sheetPr>
  <dimension ref="A1:U62"/>
  <sheetViews>
    <sheetView zoomScale="85" zoomScaleNormal="85" workbookViewId="0">
      <selection activeCell="B13" sqref="B13"/>
    </sheetView>
  </sheetViews>
  <sheetFormatPr defaultRowHeight="1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75">
      <c r="A2" s="107" t="s">
        <v>5</v>
      </c>
      <c r="B2" s="148" t="s">
        <v>1908</v>
      </c>
      <c r="C2" s="39"/>
      <c r="D2" s="41"/>
      <c r="E2" s="41"/>
      <c r="F2" s="41"/>
      <c r="G2" s="41"/>
      <c r="H2" s="41"/>
      <c r="I2" s="41"/>
      <c r="J2" s="41"/>
      <c r="K2" s="41"/>
      <c r="L2" s="41"/>
      <c r="M2" s="41"/>
      <c r="N2" s="41"/>
      <c r="O2" s="41"/>
      <c r="P2" s="41"/>
      <c r="Q2" s="41"/>
      <c r="R2" s="41"/>
    </row>
    <row r="3" spans="1:21">
      <c r="A3" s="109" t="s">
        <v>7</v>
      </c>
      <c r="B3" t="s">
        <v>1807</v>
      </c>
      <c r="C3" s="102"/>
    </row>
    <row r="4" spans="1:21">
      <c r="A4" s="109" t="s">
        <v>9</v>
      </c>
      <c r="B4" t="s">
        <v>1911</v>
      </c>
      <c r="C4" s="102"/>
      <c r="U4" s="129"/>
    </row>
    <row r="5" spans="1:21" ht="12.75" customHeight="1">
      <c r="A5" s="109" t="s">
        <v>11</v>
      </c>
      <c r="B5" s="103" t="s">
        <v>789</v>
      </c>
    </row>
    <row r="6" spans="1:21">
      <c r="A6" s="109" t="s">
        <v>13</v>
      </c>
      <c r="B6" t="s">
        <v>14</v>
      </c>
    </row>
    <row r="7" spans="1:21">
      <c r="A7" s="109" t="s">
        <v>15</v>
      </c>
      <c r="B7">
        <f>B12</f>
        <v>1.4999999999999999E-2</v>
      </c>
    </row>
    <row r="8" spans="1:21">
      <c r="A8" s="109" t="s">
        <v>16</v>
      </c>
      <c r="B8" t="s">
        <v>17</v>
      </c>
    </row>
    <row r="9" spans="1:21">
      <c r="A9" s="109" t="s">
        <v>18</v>
      </c>
      <c r="B9" t="s">
        <v>113</v>
      </c>
    </row>
    <row r="10" spans="1:21" ht="15.75">
      <c r="A10" s="110" t="s">
        <v>19</v>
      </c>
    </row>
    <row r="11" spans="1:21" ht="15.75">
      <c r="A11" s="110"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75">
      <c r="A12" s="22" t="s">
        <v>1908</v>
      </c>
      <c r="B12">
        <v>1.4999999999999999E-2</v>
      </c>
      <c r="C12" t="s">
        <v>113</v>
      </c>
      <c r="D12" s="111" t="s">
        <v>2</v>
      </c>
      <c r="E12" t="s">
        <v>29</v>
      </c>
      <c r="F12" s="104" t="s">
        <v>14</v>
      </c>
      <c r="G12" t="s">
        <v>30</v>
      </c>
      <c r="H12">
        <v>1</v>
      </c>
      <c r="I12">
        <f>B12</f>
        <v>1.4999999999999999E-2</v>
      </c>
      <c r="J12" t="s">
        <v>31</v>
      </c>
      <c r="K12" t="s">
        <v>31</v>
      </c>
      <c r="L12" t="s">
        <v>31</v>
      </c>
      <c r="M12" t="s">
        <v>31</v>
      </c>
      <c r="O12" s="149"/>
      <c r="P12" s="150"/>
    </row>
    <row r="13" spans="1:21" ht="15.75">
      <c r="A13" s="22" t="s">
        <v>1912</v>
      </c>
      <c r="B13">
        <f>R13</f>
        <v>8.699999999999998E-2</v>
      </c>
      <c r="C13" t="s">
        <v>37</v>
      </c>
      <c r="D13" s="111" t="s">
        <v>2</v>
      </c>
      <c r="E13" t="s">
        <v>29</v>
      </c>
      <c r="F13" s="104" t="s">
        <v>14</v>
      </c>
      <c r="G13" t="s">
        <v>33</v>
      </c>
      <c r="H13">
        <v>1</v>
      </c>
      <c r="I13">
        <f t="shared" ref="I13:I14" si="0">B13</f>
        <v>8.699999999999998E-2</v>
      </c>
      <c r="J13" t="s">
        <v>31</v>
      </c>
      <c r="K13" t="s">
        <v>31</v>
      </c>
      <c r="L13" t="s">
        <v>31</v>
      </c>
      <c r="M13" t="s">
        <v>31</v>
      </c>
      <c r="O13" s="147" t="s">
        <v>1913</v>
      </c>
      <c r="P13">
        <f>0.29/0.05</f>
        <v>5.7999999999999989</v>
      </c>
      <c r="Q13" t="s">
        <v>886</v>
      </c>
      <c r="R13">
        <f>P13*B12</f>
        <v>8.699999999999998E-2</v>
      </c>
    </row>
    <row r="14" spans="1:21" ht="15.75">
      <c r="A14" s="22" t="s">
        <v>1914</v>
      </c>
      <c r="B14">
        <f>B12</f>
        <v>1.4999999999999999E-2</v>
      </c>
      <c r="C14" t="s">
        <v>113</v>
      </c>
      <c r="D14" s="111" t="s">
        <v>2</v>
      </c>
      <c r="E14" t="s">
        <v>29</v>
      </c>
      <c r="F14" s="104" t="s">
        <v>14</v>
      </c>
      <c r="G14" t="s">
        <v>33</v>
      </c>
      <c r="H14">
        <v>1</v>
      </c>
      <c r="I14">
        <f t="shared" si="0"/>
        <v>1.4999999999999999E-2</v>
      </c>
      <c r="J14" t="s">
        <v>31</v>
      </c>
      <c r="K14" t="s">
        <v>31</v>
      </c>
      <c r="L14" t="s">
        <v>31</v>
      </c>
      <c r="M14" t="s">
        <v>31</v>
      </c>
    </row>
    <row r="15" spans="1:21" ht="15.75">
      <c r="A15" s="61" t="s">
        <v>792</v>
      </c>
      <c r="B15">
        <f>P15</f>
        <v>0.1</v>
      </c>
      <c r="C15" t="s">
        <v>37</v>
      </c>
      <c r="D15" s="17" t="s">
        <v>40</v>
      </c>
      <c r="E15" t="s">
        <v>29</v>
      </c>
      <c r="F15" s="104" t="s">
        <v>741</v>
      </c>
      <c r="G15" t="s">
        <v>33</v>
      </c>
      <c r="H15">
        <v>2</v>
      </c>
      <c r="I15">
        <f>LN(B15)</f>
        <v>-2.3025850929940455</v>
      </c>
      <c r="J15" s="151">
        <v>0.11236102527122109</v>
      </c>
      <c r="K15" t="s">
        <v>31</v>
      </c>
      <c r="L15" t="s">
        <v>31</v>
      </c>
      <c r="M15" t="s">
        <v>31</v>
      </c>
      <c r="O15" s="119" t="s">
        <v>221</v>
      </c>
      <c r="P15" s="120">
        <v>0.1</v>
      </c>
    </row>
    <row r="16" spans="1:21" ht="15.75">
      <c r="A16" s="61" t="s">
        <v>857</v>
      </c>
      <c r="B16" s="116">
        <f>Q16</f>
        <v>6E-9</v>
      </c>
      <c r="C16" t="s">
        <v>37</v>
      </c>
      <c r="D16" s="17" t="s">
        <v>40</v>
      </c>
      <c r="E16" t="s">
        <v>29</v>
      </c>
      <c r="F16" s="104" t="s">
        <v>58</v>
      </c>
      <c r="G16" t="s">
        <v>33</v>
      </c>
      <c r="H16">
        <v>2</v>
      </c>
      <c r="I16">
        <f t="shared" ref="I16:I17" si="1">LN(B16)</f>
        <v>-18.931506367718356</v>
      </c>
      <c r="J16" s="151">
        <v>0.11236102527122109</v>
      </c>
      <c r="K16" t="s">
        <v>31</v>
      </c>
      <c r="L16" t="s">
        <v>31</v>
      </c>
      <c r="M16" t="s">
        <v>31</v>
      </c>
      <c r="O16" s="152" t="s">
        <v>523</v>
      </c>
      <c r="P16" s="153">
        <v>6.0000000000000001E-3</v>
      </c>
      <c r="Q16" s="116">
        <f>P16*10^(-6)</f>
        <v>6E-9</v>
      </c>
      <c r="R16" t="s">
        <v>37</v>
      </c>
    </row>
    <row r="17" spans="1:18" ht="15.75">
      <c r="A17" s="61" t="s">
        <v>226</v>
      </c>
      <c r="B17">
        <f>Q17</f>
        <v>1E-4</v>
      </c>
      <c r="C17" t="s">
        <v>42</v>
      </c>
      <c r="D17" s="17" t="s">
        <v>40</v>
      </c>
      <c r="E17" t="s">
        <v>29</v>
      </c>
      <c r="F17" s="104" t="s">
        <v>741</v>
      </c>
      <c r="G17" t="s">
        <v>33</v>
      </c>
      <c r="H17">
        <v>2</v>
      </c>
      <c r="I17">
        <f t="shared" si="1"/>
        <v>-9.2103403719761818</v>
      </c>
      <c r="J17" s="151">
        <v>0.11236102527122109</v>
      </c>
      <c r="K17" t="s">
        <v>31</v>
      </c>
      <c r="L17" t="s">
        <v>31</v>
      </c>
      <c r="M17" t="s">
        <v>31</v>
      </c>
      <c r="O17" s="154" t="s">
        <v>858</v>
      </c>
      <c r="P17" s="155">
        <v>0.1</v>
      </c>
      <c r="Q17">
        <f>P17/1000</f>
        <v>1E-4</v>
      </c>
      <c r="R17" t="s">
        <v>859</v>
      </c>
    </row>
    <row r="18" spans="1:18" ht="15.75">
      <c r="A18" s="107" t="s">
        <v>5</v>
      </c>
      <c r="B18" s="148" t="s">
        <v>1912</v>
      </c>
      <c r="C18" s="39"/>
      <c r="D18" s="41"/>
      <c r="E18" s="41"/>
      <c r="F18" s="41"/>
      <c r="G18" s="41"/>
      <c r="H18" s="41"/>
      <c r="I18" s="41"/>
      <c r="J18" s="41"/>
      <c r="K18" s="41"/>
      <c r="L18" s="41"/>
      <c r="M18" s="41"/>
      <c r="N18" s="41"/>
      <c r="O18" s="41"/>
      <c r="P18" s="41"/>
      <c r="Q18" s="41"/>
      <c r="R18" s="41"/>
    </row>
    <row r="19" spans="1:18">
      <c r="A19" s="109" t="s">
        <v>7</v>
      </c>
      <c r="B19" t="s">
        <v>1807</v>
      </c>
      <c r="C19" s="102"/>
    </row>
    <row r="20" spans="1:18">
      <c r="A20" s="109" t="s">
        <v>9</v>
      </c>
      <c r="B20" t="s">
        <v>1915</v>
      </c>
      <c r="C20" s="102"/>
    </row>
    <row r="21" spans="1:18" ht="10.5" customHeight="1">
      <c r="A21" s="109" t="s">
        <v>11</v>
      </c>
      <c r="B21" s="103" t="s">
        <v>789</v>
      </c>
      <c r="P21" s="112"/>
    </row>
    <row r="22" spans="1:18">
      <c r="A22" s="109" t="s">
        <v>13</v>
      </c>
      <c r="B22" t="s">
        <v>14</v>
      </c>
      <c r="P22" s="112"/>
    </row>
    <row r="23" spans="1:18">
      <c r="A23" s="109" t="s">
        <v>15</v>
      </c>
      <c r="B23">
        <f>B28</f>
        <v>7.0000000000000001E-3</v>
      </c>
      <c r="P23" s="112"/>
    </row>
    <row r="24" spans="1:18">
      <c r="A24" s="109" t="s">
        <v>16</v>
      </c>
      <c r="B24" t="s">
        <v>17</v>
      </c>
    </row>
    <row r="25" spans="1:18">
      <c r="A25" s="109" t="s">
        <v>18</v>
      </c>
      <c r="B25" t="s">
        <v>37</v>
      </c>
    </row>
    <row r="26" spans="1:18" ht="15.75">
      <c r="A26" s="110" t="s">
        <v>19</v>
      </c>
    </row>
    <row r="27" spans="1:18" ht="15.75">
      <c r="A27" s="110"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75">
      <c r="A28" s="22" t="s">
        <v>1912</v>
      </c>
      <c r="B28">
        <v>7.0000000000000001E-3</v>
      </c>
      <c r="C28" t="s">
        <v>37</v>
      </c>
      <c r="D28" s="111" t="s">
        <v>2</v>
      </c>
      <c r="E28" t="s">
        <v>29</v>
      </c>
      <c r="F28" s="104" t="s">
        <v>14</v>
      </c>
      <c r="G28" t="s">
        <v>30</v>
      </c>
      <c r="H28">
        <v>1</v>
      </c>
      <c r="I28">
        <f>B28</f>
        <v>7.0000000000000001E-3</v>
      </c>
      <c r="J28" t="s">
        <v>31</v>
      </c>
      <c r="K28" t="s">
        <v>31</v>
      </c>
      <c r="L28" t="s">
        <v>31</v>
      </c>
      <c r="M28" t="s">
        <v>31</v>
      </c>
    </row>
    <row r="29" spans="1:18" ht="15.75">
      <c r="A29" s="61" t="s">
        <v>857</v>
      </c>
      <c r="B29" s="116">
        <f>R29</f>
        <v>6.9000000000000008E-3</v>
      </c>
      <c r="C29" t="s">
        <v>37</v>
      </c>
      <c r="D29" s="17" t="s">
        <v>40</v>
      </c>
      <c r="E29" t="s">
        <v>29</v>
      </c>
      <c r="F29" s="104" t="s">
        <v>58</v>
      </c>
      <c r="G29" t="s">
        <v>33</v>
      </c>
      <c r="H29">
        <v>2</v>
      </c>
      <c r="I29">
        <f t="shared" ref="I29:I31" si="2">LN(B29)</f>
        <v>-4.976233867378923</v>
      </c>
      <c r="J29" s="151">
        <v>0.11236102527122109</v>
      </c>
      <c r="K29" t="s">
        <v>31</v>
      </c>
      <c r="L29" t="s">
        <v>31</v>
      </c>
      <c r="M29" t="s">
        <v>31</v>
      </c>
      <c r="O29" s="119" t="s">
        <v>575</v>
      </c>
      <c r="P29" s="120">
        <v>6.9</v>
      </c>
      <c r="Q29" t="s">
        <v>221</v>
      </c>
      <c r="R29">
        <f>P29*0.001</f>
        <v>6.9000000000000008E-3</v>
      </c>
    </row>
    <row r="30" spans="1:18" ht="15.75">
      <c r="A30" s="156" t="s">
        <v>38</v>
      </c>
      <c r="B30" s="113">
        <f>P30</f>
        <v>0.03</v>
      </c>
      <c r="C30" t="s">
        <v>39</v>
      </c>
      <c r="D30" s="17" t="s">
        <v>40</v>
      </c>
      <c r="E30" t="s">
        <v>29</v>
      </c>
      <c r="F30" s="104" t="s">
        <v>35</v>
      </c>
      <c r="G30" t="s">
        <v>33</v>
      </c>
      <c r="H30">
        <v>2</v>
      </c>
      <c r="I30">
        <f t="shared" si="2"/>
        <v>-3.5065578973199818</v>
      </c>
      <c r="J30" s="151">
        <v>0.11236102527122109</v>
      </c>
      <c r="K30" t="s">
        <v>31</v>
      </c>
      <c r="L30" t="s">
        <v>31</v>
      </c>
      <c r="M30" t="s">
        <v>31</v>
      </c>
      <c r="O30" s="119" t="s">
        <v>216</v>
      </c>
      <c r="P30" s="120">
        <v>0.03</v>
      </c>
    </row>
    <row r="31" spans="1:18" ht="15.75">
      <c r="A31" s="61" t="s">
        <v>861</v>
      </c>
      <c r="B31">
        <f>R31</f>
        <v>2.9999999999999997E-4</v>
      </c>
      <c r="C31" t="s">
        <v>37</v>
      </c>
      <c r="D31" s="17" t="s">
        <v>43</v>
      </c>
      <c r="E31" t="s">
        <v>862</v>
      </c>
      <c r="F31" s="104" t="s">
        <v>29</v>
      </c>
      <c r="G31" t="s">
        <v>45</v>
      </c>
      <c r="H31">
        <v>2</v>
      </c>
      <c r="I31">
        <f t="shared" si="2"/>
        <v>-8.1117280833080727</v>
      </c>
      <c r="J31" s="151">
        <v>0.11236102527122109</v>
      </c>
      <c r="K31" t="s">
        <v>31</v>
      </c>
      <c r="L31" t="s">
        <v>31</v>
      </c>
      <c r="M31" t="s">
        <v>31</v>
      </c>
      <c r="O31" s="154" t="s">
        <v>575</v>
      </c>
      <c r="P31" s="155">
        <v>0.3</v>
      </c>
      <c r="Q31" t="s">
        <v>221</v>
      </c>
      <c r="R31">
        <f>P31*0.001</f>
        <v>2.9999999999999997E-4</v>
      </c>
    </row>
    <row r="32" spans="1:18" ht="15.75">
      <c r="A32" s="107" t="s">
        <v>5</v>
      </c>
      <c r="B32" s="108" t="s">
        <v>1914</v>
      </c>
      <c r="C32" s="39"/>
      <c r="D32" s="41"/>
      <c r="E32" s="41"/>
      <c r="F32" s="41"/>
      <c r="G32" s="41"/>
      <c r="H32" s="41"/>
      <c r="I32" s="41"/>
      <c r="J32" s="41"/>
      <c r="K32" s="41"/>
      <c r="L32" s="41"/>
      <c r="M32" s="41"/>
      <c r="N32" s="41"/>
      <c r="O32" s="41"/>
      <c r="P32" s="41"/>
      <c r="Q32" s="41"/>
      <c r="R32" s="41"/>
    </row>
    <row r="33" spans="1:20">
      <c r="A33" s="109" t="s">
        <v>7</v>
      </c>
      <c r="B33" t="s">
        <v>1807</v>
      </c>
      <c r="C33" s="102"/>
    </row>
    <row r="34" spans="1:20">
      <c r="A34" s="109" t="s">
        <v>9</v>
      </c>
      <c r="B34" t="s">
        <v>1916</v>
      </c>
      <c r="C34" s="102"/>
    </row>
    <row r="35" spans="1:20" ht="15.75" customHeight="1">
      <c r="A35" s="109" t="s">
        <v>11</v>
      </c>
      <c r="B35" s="103" t="s">
        <v>789</v>
      </c>
      <c r="O35" s="129" t="s">
        <v>1917</v>
      </c>
      <c r="T35" s="129"/>
    </row>
    <row r="36" spans="1:20">
      <c r="A36" s="109" t="s">
        <v>13</v>
      </c>
      <c r="B36" t="s">
        <v>14</v>
      </c>
      <c r="O36">
        <f>0.29/0.05</f>
        <v>5.7999999999999989</v>
      </c>
      <c r="P36" t="s">
        <v>886</v>
      </c>
    </row>
    <row r="37" spans="1:20">
      <c r="A37" s="109" t="s">
        <v>15</v>
      </c>
      <c r="B37">
        <v>0.22</v>
      </c>
    </row>
    <row r="38" spans="1:20">
      <c r="A38" s="109" t="s">
        <v>16</v>
      </c>
      <c r="B38" t="s">
        <v>17</v>
      </c>
    </row>
    <row r="39" spans="1:20">
      <c r="A39" s="109" t="s">
        <v>18</v>
      </c>
      <c r="B39" t="s">
        <v>113</v>
      </c>
    </row>
    <row r="40" spans="1:20" ht="15.75">
      <c r="A40" s="110" t="s">
        <v>19</v>
      </c>
    </row>
    <row r="41" spans="1:20" ht="15.75">
      <c r="A41" s="110"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75">
      <c r="A42" s="22" t="s">
        <v>1914</v>
      </c>
      <c r="B42">
        <v>0.05</v>
      </c>
      <c r="C42" t="s">
        <v>113</v>
      </c>
      <c r="D42" s="111" t="s">
        <v>2</v>
      </c>
      <c r="E42" t="s">
        <v>29</v>
      </c>
      <c r="F42" s="104" t="s">
        <v>14</v>
      </c>
      <c r="G42" t="s">
        <v>30</v>
      </c>
      <c r="H42">
        <v>1</v>
      </c>
      <c r="I42">
        <f>B42</f>
        <v>0.05</v>
      </c>
      <c r="J42" t="s">
        <v>31</v>
      </c>
      <c r="K42" t="s">
        <v>31</v>
      </c>
      <c r="L42" t="s">
        <v>31</v>
      </c>
      <c r="M42" t="s">
        <v>31</v>
      </c>
    </row>
    <row r="43" spans="1:20" ht="15.75">
      <c r="A43" s="22" t="s">
        <v>1812</v>
      </c>
      <c r="B43" s="116">
        <v>0.28999999999999998</v>
      </c>
      <c r="C43" t="s">
        <v>37</v>
      </c>
      <c r="D43" s="111" t="s">
        <v>2</v>
      </c>
      <c r="E43" t="s">
        <v>29</v>
      </c>
      <c r="F43" s="104" t="s">
        <v>14</v>
      </c>
      <c r="G43" t="s">
        <v>33</v>
      </c>
      <c r="H43">
        <v>1</v>
      </c>
      <c r="I43">
        <f>B43</f>
        <v>0.28999999999999998</v>
      </c>
      <c r="J43" t="s">
        <v>31</v>
      </c>
      <c r="K43" t="s">
        <v>31</v>
      </c>
      <c r="L43" t="s">
        <v>31</v>
      </c>
      <c r="M43" t="s">
        <v>31</v>
      </c>
      <c r="O43" s="119"/>
      <c r="P43" s="120"/>
    </row>
    <row r="44" spans="1:20" ht="15.75">
      <c r="A44" s="156" t="s">
        <v>38</v>
      </c>
      <c r="B44" s="113">
        <f>P44</f>
        <v>0.34</v>
      </c>
      <c r="C44" t="s">
        <v>39</v>
      </c>
      <c r="D44" s="17" t="s">
        <v>40</v>
      </c>
      <c r="E44" t="s">
        <v>29</v>
      </c>
      <c r="F44" s="104" t="s">
        <v>35</v>
      </c>
      <c r="G44" t="s">
        <v>33</v>
      </c>
      <c r="H44">
        <v>2</v>
      </c>
      <c r="I44">
        <f t="shared" ref="I44" si="3">LN(B44)</f>
        <v>-1.0788096613719298</v>
      </c>
      <c r="J44" s="151">
        <v>7.2284161474004766E-2</v>
      </c>
      <c r="K44" t="s">
        <v>31</v>
      </c>
      <c r="L44" t="s">
        <v>31</v>
      </c>
      <c r="M44" t="s">
        <v>31</v>
      </c>
      <c r="O44" s="119" t="s">
        <v>216</v>
      </c>
      <c r="P44" s="120">
        <v>0.34</v>
      </c>
    </row>
    <row r="45" spans="1:20" ht="15.75">
      <c r="A45" s="61" t="s">
        <v>547</v>
      </c>
      <c r="B45">
        <f>R45</f>
        <v>8.0000000000000002E-3</v>
      </c>
      <c r="C45" t="s">
        <v>37</v>
      </c>
      <c r="D45" s="17" t="s">
        <v>40</v>
      </c>
      <c r="E45" t="s">
        <v>29</v>
      </c>
      <c r="F45" s="104" t="s">
        <v>58</v>
      </c>
      <c r="G45" t="s">
        <v>33</v>
      </c>
      <c r="H45">
        <v>2</v>
      </c>
      <c r="I45">
        <f>LN(B45)</f>
        <v>-4.8283137373023015</v>
      </c>
      <c r="J45" s="151">
        <v>7.2284161474004766E-2</v>
      </c>
      <c r="K45" t="s">
        <v>31</v>
      </c>
      <c r="L45" t="s">
        <v>31</v>
      </c>
      <c r="M45" t="s">
        <v>31</v>
      </c>
      <c r="O45" s="119" t="s">
        <v>575</v>
      </c>
      <c r="P45" s="120">
        <v>8</v>
      </c>
      <c r="Q45" t="s">
        <v>221</v>
      </c>
      <c r="R45">
        <f>P45*0.001</f>
        <v>8.0000000000000002E-3</v>
      </c>
    </row>
    <row r="46" spans="1:20" ht="15.75">
      <c r="A46" s="61" t="s">
        <v>866</v>
      </c>
      <c r="B46">
        <f>R46</f>
        <v>1.4999999999999999E-2</v>
      </c>
      <c r="C46" t="s">
        <v>37</v>
      </c>
      <c r="D46" s="17" t="s">
        <v>40</v>
      </c>
      <c r="E46" t="s">
        <v>29</v>
      </c>
      <c r="F46" s="104" t="s">
        <v>35</v>
      </c>
      <c r="G46" t="s">
        <v>33</v>
      </c>
      <c r="H46">
        <v>2</v>
      </c>
      <c r="I46">
        <f>LN(B46)</f>
        <v>-4.1997050778799272</v>
      </c>
      <c r="J46" s="151">
        <v>7.2284161474004766E-2</v>
      </c>
      <c r="K46" t="s">
        <v>31</v>
      </c>
      <c r="L46" t="s">
        <v>31</v>
      </c>
      <c r="M46" t="s">
        <v>31</v>
      </c>
      <c r="O46" s="119" t="s">
        <v>575</v>
      </c>
      <c r="P46" s="120">
        <v>15</v>
      </c>
      <c r="Q46" t="s">
        <v>221</v>
      </c>
      <c r="R46">
        <f>P46*0.001</f>
        <v>1.4999999999999999E-2</v>
      </c>
    </row>
    <row r="47" spans="1:20" ht="15.75">
      <c r="A47" s="61" t="s">
        <v>792</v>
      </c>
      <c r="B47">
        <f>P47</f>
        <v>13</v>
      </c>
      <c r="C47" t="s">
        <v>37</v>
      </c>
      <c r="D47" s="17" t="s">
        <v>40</v>
      </c>
      <c r="E47" t="s">
        <v>29</v>
      </c>
      <c r="F47" s="104" t="s">
        <v>741</v>
      </c>
      <c r="G47" t="s">
        <v>33</v>
      </c>
      <c r="H47">
        <v>2</v>
      </c>
      <c r="I47">
        <f>LN(B47)</f>
        <v>2.5649493574615367</v>
      </c>
      <c r="J47" s="151">
        <v>7.2284161474004766E-2</v>
      </c>
      <c r="K47" t="s">
        <v>31</v>
      </c>
      <c r="L47" t="s">
        <v>31</v>
      </c>
      <c r="M47" t="s">
        <v>31</v>
      </c>
      <c r="O47" s="119" t="s">
        <v>221</v>
      </c>
      <c r="P47" s="120">
        <v>13</v>
      </c>
    </row>
    <row r="48" spans="1:20" ht="15.75">
      <c r="A48" s="61" t="s">
        <v>226</v>
      </c>
      <c r="B48">
        <f>R48</f>
        <v>1.2999999999999999E-2</v>
      </c>
      <c r="C48" t="s">
        <v>42</v>
      </c>
      <c r="D48" s="17" t="s">
        <v>40</v>
      </c>
      <c r="E48" t="s">
        <v>29</v>
      </c>
      <c r="F48" s="104" t="s">
        <v>741</v>
      </c>
      <c r="G48" t="s">
        <v>33</v>
      </c>
      <c r="H48">
        <v>2</v>
      </c>
      <c r="I48">
        <f t="shared" ref="I48" si="4">LN(B48)</f>
        <v>-4.3428059215206005</v>
      </c>
      <c r="J48" s="151">
        <v>7.2284161474004766E-2</v>
      </c>
      <c r="K48" t="s">
        <v>31</v>
      </c>
      <c r="L48" t="s">
        <v>31</v>
      </c>
      <c r="M48" t="s">
        <v>31</v>
      </c>
      <c r="O48" s="154" t="s">
        <v>858</v>
      </c>
      <c r="P48" s="155">
        <v>13</v>
      </c>
      <c r="Q48" t="s">
        <v>219</v>
      </c>
      <c r="R48">
        <f>P48/1000</f>
        <v>1.2999999999999999E-2</v>
      </c>
    </row>
    <row r="49" spans="1:18" ht="15.75">
      <c r="A49" s="107" t="s">
        <v>5</v>
      </c>
      <c r="B49" s="108" t="s">
        <v>1918</v>
      </c>
      <c r="C49" s="39"/>
      <c r="D49" s="41"/>
      <c r="E49" s="41"/>
      <c r="F49" s="41"/>
      <c r="G49" s="41"/>
      <c r="H49" s="41"/>
      <c r="I49" s="41"/>
      <c r="J49" s="41"/>
      <c r="K49" s="41"/>
      <c r="L49" s="41"/>
      <c r="M49" s="41"/>
      <c r="N49" s="41"/>
      <c r="O49" s="41"/>
      <c r="P49" s="41"/>
      <c r="Q49" s="41"/>
      <c r="R49" s="41"/>
    </row>
    <row r="50" spans="1:18">
      <c r="A50" s="109" t="s">
        <v>7</v>
      </c>
      <c r="B50" t="s">
        <v>1807</v>
      </c>
      <c r="C50" s="102"/>
    </row>
    <row r="51" spans="1:18">
      <c r="A51" s="109" t="s">
        <v>9</v>
      </c>
      <c r="B51" t="s">
        <v>1919</v>
      </c>
      <c r="C51" s="102"/>
    </row>
    <row r="52" spans="1:18" ht="10.5" customHeight="1">
      <c r="A52" s="109" t="s">
        <v>11</v>
      </c>
      <c r="B52" s="103" t="s">
        <v>789</v>
      </c>
    </row>
    <row r="53" spans="1:18">
      <c r="A53" s="109" t="s">
        <v>13</v>
      </c>
      <c r="B53" t="s">
        <v>14</v>
      </c>
    </row>
    <row r="54" spans="1:18">
      <c r="A54" s="109" t="s">
        <v>15</v>
      </c>
      <c r="B54" s="157">
        <f>B59</f>
        <v>1.7000000000000001E-2</v>
      </c>
    </row>
    <row r="55" spans="1:18">
      <c r="A55" s="109" t="s">
        <v>16</v>
      </c>
      <c r="B55" t="s">
        <v>17</v>
      </c>
    </row>
    <row r="56" spans="1:18">
      <c r="A56" s="109" t="s">
        <v>18</v>
      </c>
      <c r="B56" t="s">
        <v>37</v>
      </c>
    </row>
    <row r="57" spans="1:18" ht="15.75">
      <c r="A57" s="110" t="s">
        <v>19</v>
      </c>
    </row>
    <row r="58" spans="1:18" ht="15.75">
      <c r="A58" s="110"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75">
      <c r="A59" s="22" t="s">
        <v>1918</v>
      </c>
      <c r="B59" s="157">
        <v>1.7000000000000001E-2</v>
      </c>
      <c r="C59" t="s">
        <v>37</v>
      </c>
      <c r="D59" s="111" t="s">
        <v>2</v>
      </c>
      <c r="E59" t="s">
        <v>29</v>
      </c>
      <c r="F59" s="104" t="s">
        <v>14</v>
      </c>
      <c r="G59" t="s">
        <v>30</v>
      </c>
      <c r="H59">
        <v>1</v>
      </c>
      <c r="I59" s="157">
        <f>B59</f>
        <v>1.7000000000000001E-2</v>
      </c>
      <c r="J59" t="s">
        <v>31</v>
      </c>
      <c r="K59" t="s">
        <v>31</v>
      </c>
      <c r="L59" t="s">
        <v>31</v>
      </c>
      <c r="M59" t="s">
        <v>31</v>
      </c>
      <c r="O59" s="42"/>
      <c r="P59" s="112"/>
    </row>
    <row r="60" spans="1:18" ht="15.75">
      <c r="A60" s="61" t="s">
        <v>869</v>
      </c>
      <c r="B60" s="113">
        <f>R60</f>
        <v>1.8000000000000002E-2</v>
      </c>
      <c r="C60" t="s">
        <v>37</v>
      </c>
      <c r="D60" s="17" t="s">
        <v>40</v>
      </c>
      <c r="E60" t="s">
        <v>29</v>
      </c>
      <c r="F60" s="104" t="s">
        <v>58</v>
      </c>
      <c r="G60" t="s">
        <v>33</v>
      </c>
      <c r="H60">
        <v>2</v>
      </c>
      <c r="I60">
        <f>LN(B60)</f>
        <v>-4.0173835210859723</v>
      </c>
      <c r="J60">
        <v>7.2284161474004766E-2</v>
      </c>
      <c r="K60" t="s">
        <v>31</v>
      </c>
      <c r="L60" t="s">
        <v>31</v>
      </c>
      <c r="M60" t="s">
        <v>31</v>
      </c>
      <c r="O60" s="119" t="s">
        <v>575</v>
      </c>
      <c r="P60" s="120">
        <v>18</v>
      </c>
      <c r="Q60" t="s">
        <v>221</v>
      </c>
      <c r="R60">
        <f>P60*0.001</f>
        <v>1.8000000000000002E-2</v>
      </c>
    </row>
    <row r="61" spans="1:18" ht="15.75">
      <c r="A61" s="156" t="s">
        <v>38</v>
      </c>
      <c r="B61" s="113">
        <f>P61</f>
        <v>0.08</v>
      </c>
      <c r="C61" t="s">
        <v>39</v>
      </c>
      <c r="D61" s="17" t="s">
        <v>40</v>
      </c>
      <c r="E61" t="s">
        <v>29</v>
      </c>
      <c r="F61" s="104" t="s">
        <v>35</v>
      </c>
      <c r="G61" t="s">
        <v>33</v>
      </c>
      <c r="H61">
        <v>2</v>
      </c>
      <c r="I61">
        <f t="shared" ref="I61:I62" si="5">LN(B61)</f>
        <v>-2.5257286443082556</v>
      </c>
      <c r="J61">
        <v>7.2284161474004766E-2</v>
      </c>
      <c r="K61" t="s">
        <v>31</v>
      </c>
      <c r="L61" t="s">
        <v>31</v>
      </c>
      <c r="M61" t="s">
        <v>31</v>
      </c>
      <c r="O61" s="119" t="s">
        <v>216</v>
      </c>
      <c r="P61" s="120">
        <v>0.08</v>
      </c>
    </row>
    <row r="62" spans="1:18" ht="15.75">
      <c r="A62" s="158" t="s">
        <v>1810</v>
      </c>
      <c r="B62">
        <v>8.9999999999999998E-4</v>
      </c>
      <c r="C62" t="s">
        <v>37</v>
      </c>
      <c r="D62" s="111" t="s">
        <v>2</v>
      </c>
      <c r="E62" t="s">
        <v>29</v>
      </c>
      <c r="F62" s="104" t="s">
        <v>741</v>
      </c>
      <c r="G62" t="s">
        <v>33</v>
      </c>
      <c r="H62">
        <v>2</v>
      </c>
      <c r="I62">
        <f t="shared" si="5"/>
        <v>-7.0131157946399636</v>
      </c>
      <c r="J62">
        <v>7.2284161474004766E-2</v>
      </c>
      <c r="K62" t="s">
        <v>31</v>
      </c>
      <c r="L62" t="s">
        <v>31</v>
      </c>
      <c r="M62" t="s">
        <v>31</v>
      </c>
    </row>
  </sheetData>
  <pageMargins left="0.7" right="0.7" top="0.75" bottom="0.75" header="0.3" footer="0.3"/>
  <pageSetup paperSize="9" orientation="portrai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2A367-58A3-447D-953F-FF6D4BD147DD}">
  <sheetPr>
    <tabColor theme="8" tint="0.79998168889431442"/>
  </sheetPr>
  <dimension ref="A1:V47"/>
  <sheetViews>
    <sheetView zoomScaleNormal="100" workbookViewId="0">
      <selection activeCell="B13" sqref="B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1" customFormat="1" ht="15.75">
      <c r="A2" s="99" t="s">
        <v>5</v>
      </c>
      <c r="B2" s="108" t="s">
        <v>1909</v>
      </c>
    </row>
    <row r="3" spans="1:22">
      <c r="A3" s="101" t="s">
        <v>7</v>
      </c>
      <c r="B3" t="s">
        <v>1807</v>
      </c>
      <c r="C3" s="102"/>
    </row>
    <row r="4" spans="1:22">
      <c r="A4" s="114" t="s">
        <v>9</v>
      </c>
      <c r="B4" t="s">
        <v>1920</v>
      </c>
      <c r="C4" s="102"/>
    </row>
    <row r="5" spans="1:22" ht="15.75" customHeight="1">
      <c r="A5" s="101" t="s">
        <v>11</v>
      </c>
      <c r="B5" s="103" t="s">
        <v>789</v>
      </c>
    </row>
    <row r="6" spans="1:22">
      <c r="A6" s="101" t="s">
        <v>13</v>
      </c>
      <c r="B6" t="s">
        <v>14</v>
      </c>
    </row>
    <row r="7" spans="1:22">
      <c r="A7" s="101" t="s">
        <v>15</v>
      </c>
      <c r="B7" s="116">
        <f>B12</f>
        <v>0.03</v>
      </c>
    </row>
    <row r="8" spans="1:22">
      <c r="A8" s="101" t="s">
        <v>16</v>
      </c>
      <c r="B8" t="s">
        <v>17</v>
      </c>
    </row>
    <row r="9" spans="1:22">
      <c r="A9" s="101" t="s">
        <v>18</v>
      </c>
      <c r="B9" t="s">
        <v>37</v>
      </c>
      <c r="S9" s="159" t="s">
        <v>880</v>
      </c>
    </row>
    <row r="10" spans="1:22" ht="15.75">
      <c r="A10" s="105" t="s">
        <v>19</v>
      </c>
      <c r="S10" t="s">
        <v>881</v>
      </c>
      <c r="T10">
        <v>8900</v>
      </c>
      <c r="U10" t="s">
        <v>882</v>
      </c>
    </row>
    <row r="11" spans="1:22" ht="15.75">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883</v>
      </c>
      <c r="T11">
        <f>5*10^-6</f>
        <v>4.9999999999999996E-6</v>
      </c>
      <c r="U11" t="s">
        <v>884</v>
      </c>
    </row>
    <row r="12" spans="1:22" ht="15.75">
      <c r="A12" t="s">
        <v>1909</v>
      </c>
      <c r="B12" s="160">
        <v>0.03</v>
      </c>
      <c r="C12" t="s">
        <v>37</v>
      </c>
      <c r="D12" s="111" t="s">
        <v>2</v>
      </c>
      <c r="E12" t="s">
        <v>29</v>
      </c>
      <c r="F12" t="s">
        <v>14</v>
      </c>
      <c r="G12" t="s">
        <v>30</v>
      </c>
      <c r="H12">
        <v>1</v>
      </c>
      <c r="I12">
        <v>1</v>
      </c>
      <c r="J12" t="s">
        <v>31</v>
      </c>
      <c r="K12" t="s">
        <v>31</v>
      </c>
      <c r="L12" t="s">
        <v>31</v>
      </c>
      <c r="M12" t="s">
        <v>31</v>
      </c>
      <c r="O12" s="129" t="s">
        <v>1233</v>
      </c>
      <c r="P12" s="161"/>
      <c r="Q12" t="s">
        <v>202</v>
      </c>
      <c r="S12" s="162" t="s">
        <v>885</v>
      </c>
      <c r="T12" s="163">
        <v>0.46</v>
      </c>
      <c r="U12" s="164" t="s">
        <v>886</v>
      </c>
    </row>
    <row r="13" spans="1:22" ht="15.75">
      <c r="A13" t="s">
        <v>1921</v>
      </c>
      <c r="B13" s="160">
        <f>B28</f>
        <v>0.03</v>
      </c>
      <c r="C13" t="s">
        <v>113</v>
      </c>
      <c r="D13" s="111" t="s">
        <v>2</v>
      </c>
      <c r="E13" t="s">
        <v>29</v>
      </c>
      <c r="F13" t="s">
        <v>14</v>
      </c>
      <c r="G13" t="s">
        <v>33</v>
      </c>
      <c r="H13">
        <v>1</v>
      </c>
      <c r="I13" s="116">
        <f>B13</f>
        <v>0.03</v>
      </c>
      <c r="J13">
        <v>7.2284161474004793E-2</v>
      </c>
      <c r="K13" t="s">
        <v>31</v>
      </c>
      <c r="L13" t="s">
        <v>31</v>
      </c>
      <c r="M13" t="s">
        <v>31</v>
      </c>
      <c r="O13" s="119" t="s">
        <v>887</v>
      </c>
      <c r="P13" s="165">
        <f>B13*100</f>
        <v>3</v>
      </c>
    </row>
    <row r="14" spans="1:22" ht="15.75">
      <c r="A14" s="42" t="s">
        <v>1918</v>
      </c>
      <c r="B14" s="157">
        <f>U15</f>
        <v>0.34960000000000002</v>
      </c>
      <c r="C14" t="s">
        <v>37</v>
      </c>
      <c r="D14" s="111" t="s">
        <v>2</v>
      </c>
      <c r="E14" t="s">
        <v>29</v>
      </c>
      <c r="F14" s="104" t="s">
        <v>14</v>
      </c>
      <c r="G14" t="s">
        <v>33</v>
      </c>
      <c r="H14">
        <v>1</v>
      </c>
      <c r="I14" s="116">
        <f>B14</f>
        <v>0.34960000000000002</v>
      </c>
      <c r="J14">
        <v>7.2284161474004766E-2</v>
      </c>
      <c r="K14" t="s">
        <v>31</v>
      </c>
      <c r="L14" t="s">
        <v>31</v>
      </c>
      <c r="M14" t="s">
        <v>31</v>
      </c>
      <c r="O14" s="117"/>
      <c r="P14" s="118"/>
      <c r="S14" t="s">
        <v>548</v>
      </c>
      <c r="V14" s="150"/>
    </row>
    <row r="15" spans="1:22" ht="15.75">
      <c r="A15" s="106" t="s">
        <v>792</v>
      </c>
      <c r="B15">
        <f>Q15</f>
        <v>6.1</v>
      </c>
      <c r="C15" t="s">
        <v>37</v>
      </c>
      <c r="D15" s="17" t="s">
        <v>40</v>
      </c>
      <c r="E15" t="s">
        <v>29</v>
      </c>
      <c r="F15" s="104" t="s">
        <v>741</v>
      </c>
      <c r="G15" t="s">
        <v>33</v>
      </c>
      <c r="H15">
        <v>2</v>
      </c>
      <c r="I15">
        <f t="shared" ref="I15" si="0">LN(B15)</f>
        <v>1.8082887711792655</v>
      </c>
      <c r="J15">
        <v>7.2284161474004766E-2</v>
      </c>
      <c r="K15" t="s">
        <v>31</v>
      </c>
      <c r="L15" t="s">
        <v>31</v>
      </c>
      <c r="M15" t="s">
        <v>31</v>
      </c>
      <c r="O15" s="119" t="s">
        <v>221</v>
      </c>
      <c r="P15" s="120">
        <v>6.1</v>
      </c>
      <c r="Q15">
        <f>P15</f>
        <v>6.1</v>
      </c>
      <c r="S15" s="166">
        <v>0.76</v>
      </c>
      <c r="T15" s="167" t="s">
        <v>605</v>
      </c>
      <c r="U15" s="166">
        <f>S15*T12</f>
        <v>0.34960000000000002</v>
      </c>
      <c r="V15" s="167" t="s">
        <v>221</v>
      </c>
    </row>
    <row r="16" spans="1:22" ht="15.75">
      <c r="A16" s="47" t="s">
        <v>869</v>
      </c>
      <c r="B16">
        <f>Q16</f>
        <v>2.9999999999999999E-7</v>
      </c>
      <c r="C16" t="s">
        <v>37</v>
      </c>
      <c r="D16" s="17" t="s">
        <v>40</v>
      </c>
      <c r="E16" t="s">
        <v>29</v>
      </c>
      <c r="F16" s="104" t="s">
        <v>58</v>
      </c>
      <c r="G16" t="s">
        <v>33</v>
      </c>
      <c r="H16">
        <v>2</v>
      </c>
      <c r="I16">
        <f>LN(B16)</f>
        <v>-15.01948336229021</v>
      </c>
      <c r="J16">
        <v>7.2284161474004766E-2</v>
      </c>
      <c r="K16" t="s">
        <v>31</v>
      </c>
      <c r="L16" t="s">
        <v>31</v>
      </c>
      <c r="M16" t="s">
        <v>31</v>
      </c>
      <c r="O16" s="152" t="s">
        <v>523</v>
      </c>
      <c r="P16" s="168">
        <v>0.3</v>
      </c>
      <c r="Q16">
        <f>0.000001*P16</f>
        <v>2.9999999999999999E-7</v>
      </c>
    </row>
    <row r="17" spans="1:20" ht="15.75">
      <c r="A17" s="47" t="s">
        <v>226</v>
      </c>
      <c r="B17">
        <f t="shared" ref="B17" si="1">Q17</f>
        <v>6.0999999999999995E-3</v>
      </c>
      <c r="C17" t="s">
        <v>42</v>
      </c>
      <c r="D17" s="17" t="s">
        <v>40</v>
      </c>
      <c r="E17" t="s">
        <v>29</v>
      </c>
      <c r="F17" s="104" t="s">
        <v>741</v>
      </c>
      <c r="G17" t="s">
        <v>33</v>
      </c>
      <c r="H17">
        <v>2</v>
      </c>
      <c r="I17">
        <f t="shared" ref="I17" si="2">LN(B17)</f>
        <v>-5.0994665078028714</v>
      </c>
      <c r="J17">
        <v>7.2284161474004766E-2</v>
      </c>
      <c r="K17" t="s">
        <v>31</v>
      </c>
      <c r="L17" t="s">
        <v>31</v>
      </c>
      <c r="M17" t="s">
        <v>31</v>
      </c>
      <c r="O17" s="154" t="s">
        <v>858</v>
      </c>
      <c r="P17" s="155">
        <v>6.1</v>
      </c>
      <c r="Q17">
        <f>0.001*P17</f>
        <v>6.0999999999999995E-3</v>
      </c>
    </row>
    <row r="18" spans="1:20" s="41" customFormat="1" ht="15.75">
      <c r="A18" s="99" t="s">
        <v>5</v>
      </c>
      <c r="B18" s="108" t="s">
        <v>1921</v>
      </c>
    </row>
    <row r="19" spans="1:20">
      <c r="A19" s="101" t="s">
        <v>7</v>
      </c>
      <c r="B19" t="s">
        <v>1807</v>
      </c>
      <c r="C19" s="102"/>
    </row>
    <row r="20" spans="1:20">
      <c r="A20" s="114" t="s">
        <v>9</v>
      </c>
      <c r="B20" s="22" t="s">
        <v>1922</v>
      </c>
      <c r="C20" s="102"/>
    </row>
    <row r="21" spans="1:20" ht="15.75" customHeight="1">
      <c r="A21" s="101" t="s">
        <v>11</v>
      </c>
      <c r="B21" s="103" t="s">
        <v>789</v>
      </c>
    </row>
    <row r="22" spans="1:20">
      <c r="A22" s="101" t="s">
        <v>13</v>
      </c>
      <c r="B22" t="s">
        <v>14</v>
      </c>
    </row>
    <row r="23" spans="1:20">
      <c r="A23" s="101" t="s">
        <v>15</v>
      </c>
      <c r="B23" s="116">
        <f>B28</f>
        <v>0.03</v>
      </c>
    </row>
    <row r="24" spans="1:20">
      <c r="A24" s="101" t="s">
        <v>16</v>
      </c>
      <c r="B24" t="s">
        <v>17</v>
      </c>
    </row>
    <row r="25" spans="1:20">
      <c r="A25" s="101" t="s">
        <v>18</v>
      </c>
      <c r="B25" t="s">
        <v>113</v>
      </c>
    </row>
    <row r="26" spans="1:20" ht="15.75">
      <c r="A26" s="105" t="s">
        <v>19</v>
      </c>
    </row>
    <row r="27" spans="1:20" ht="15.75">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6"/>
    </row>
    <row r="28" spans="1:20" ht="15.75">
      <c r="A28" t="s">
        <v>1921</v>
      </c>
      <c r="B28" s="116">
        <v>0.03</v>
      </c>
      <c r="C28" t="s">
        <v>113</v>
      </c>
      <c r="D28" s="111" t="s">
        <v>2</v>
      </c>
      <c r="E28" t="s">
        <v>29</v>
      </c>
      <c r="F28" t="s">
        <v>14</v>
      </c>
      <c r="G28" t="s">
        <v>30</v>
      </c>
      <c r="H28">
        <v>1</v>
      </c>
      <c r="I28" s="116">
        <f>B28</f>
        <v>0.03</v>
      </c>
      <c r="J28">
        <v>7.2284161474004766E-2</v>
      </c>
      <c r="K28" t="s">
        <v>31</v>
      </c>
      <c r="L28" t="s">
        <v>31</v>
      </c>
      <c r="M28" t="s">
        <v>31</v>
      </c>
      <c r="O28" s="119" t="s">
        <v>887</v>
      </c>
      <c r="P28" s="120">
        <f>B28*100</f>
        <v>3</v>
      </c>
    </row>
    <row r="29" spans="1:20">
      <c r="A29" t="s">
        <v>1923</v>
      </c>
      <c r="B29" s="116">
        <v>0.03</v>
      </c>
      <c r="C29" t="s">
        <v>113</v>
      </c>
      <c r="D29" s="169" t="s">
        <v>2</v>
      </c>
      <c r="E29" t="s">
        <v>29</v>
      </c>
      <c r="F29" t="s">
        <v>14</v>
      </c>
      <c r="G29" t="s">
        <v>33</v>
      </c>
      <c r="H29">
        <v>1</v>
      </c>
      <c r="I29" s="116">
        <f>B29</f>
        <v>0.03</v>
      </c>
      <c r="J29">
        <v>7.2284161474004766E-2</v>
      </c>
      <c r="K29" t="s">
        <v>31</v>
      </c>
      <c r="L29" t="s">
        <v>31</v>
      </c>
      <c r="M29" t="s">
        <v>31</v>
      </c>
    </row>
    <row r="30" spans="1:20" ht="15.75">
      <c r="A30" s="106" t="s">
        <v>38</v>
      </c>
      <c r="B30" s="113">
        <f>P30</f>
        <v>0.34</v>
      </c>
      <c r="C30" t="s">
        <v>39</v>
      </c>
      <c r="D30" s="17" t="s">
        <v>40</v>
      </c>
      <c r="E30" t="s">
        <v>29</v>
      </c>
      <c r="F30" s="104" t="s">
        <v>35</v>
      </c>
      <c r="G30" t="s">
        <v>33</v>
      </c>
      <c r="H30">
        <v>2</v>
      </c>
      <c r="I30">
        <f t="shared" ref="I30:I31" si="3">LN(B30)</f>
        <v>-1.0788096613719298</v>
      </c>
      <c r="J30">
        <v>7.2284161474004766E-2</v>
      </c>
      <c r="K30" t="s">
        <v>31</v>
      </c>
      <c r="L30" t="s">
        <v>31</v>
      </c>
      <c r="M30" t="s">
        <v>31</v>
      </c>
      <c r="O30" s="119" t="s">
        <v>216</v>
      </c>
      <c r="P30" s="120">
        <v>0.34</v>
      </c>
    </row>
    <row r="31" spans="1:20" ht="15.75">
      <c r="A31" s="47" t="s">
        <v>547</v>
      </c>
      <c r="B31">
        <f>R31</f>
        <v>8.0000000000000002E-3</v>
      </c>
      <c r="C31" s="116" t="s">
        <v>37</v>
      </c>
      <c r="D31" s="17" t="s">
        <v>40</v>
      </c>
      <c r="E31" t="s">
        <v>29</v>
      </c>
      <c r="F31" t="s">
        <v>58</v>
      </c>
      <c r="G31" t="s">
        <v>33</v>
      </c>
      <c r="H31">
        <v>2</v>
      </c>
      <c r="I31">
        <f t="shared" si="3"/>
        <v>-4.8283137373023015</v>
      </c>
      <c r="J31">
        <v>7.2284161474004766E-2</v>
      </c>
      <c r="K31" t="s">
        <v>31</v>
      </c>
      <c r="L31" t="s">
        <v>31</v>
      </c>
      <c r="M31" t="s">
        <v>31</v>
      </c>
      <c r="O31" s="119" t="s">
        <v>575</v>
      </c>
      <c r="P31" s="120">
        <v>8</v>
      </c>
      <c r="Q31" t="s">
        <v>221</v>
      </c>
      <c r="R31">
        <f>P31*0.001</f>
        <v>8.0000000000000002E-3</v>
      </c>
    </row>
    <row r="32" spans="1:20" ht="15.75">
      <c r="A32" s="61" t="s">
        <v>866</v>
      </c>
      <c r="B32">
        <f t="shared" ref="B32:B33" si="4">R32</f>
        <v>1.4999999999999999E-2</v>
      </c>
      <c r="C32" t="s">
        <v>37</v>
      </c>
      <c r="D32" s="17" t="s">
        <v>40</v>
      </c>
      <c r="E32" t="s">
        <v>29</v>
      </c>
      <c r="F32" s="104" t="s">
        <v>35</v>
      </c>
      <c r="G32" t="s">
        <v>33</v>
      </c>
      <c r="H32">
        <v>2</v>
      </c>
      <c r="I32">
        <f>LN(B32)</f>
        <v>-4.1997050778799272</v>
      </c>
      <c r="J32">
        <v>7.2284161474004766E-2</v>
      </c>
      <c r="K32" t="s">
        <v>31</v>
      </c>
      <c r="L32" t="s">
        <v>31</v>
      </c>
      <c r="M32" t="s">
        <v>31</v>
      </c>
      <c r="O32" s="119" t="s">
        <v>575</v>
      </c>
      <c r="P32" s="120">
        <v>15</v>
      </c>
      <c r="Q32" t="s">
        <v>221</v>
      </c>
      <c r="R32">
        <f>P32*0.001</f>
        <v>1.4999999999999999E-2</v>
      </c>
    </row>
    <row r="33" spans="1:20" ht="15.75">
      <c r="A33" s="106" t="s">
        <v>792</v>
      </c>
      <c r="B33">
        <f t="shared" si="4"/>
        <v>13</v>
      </c>
      <c r="C33" t="s">
        <v>37</v>
      </c>
      <c r="D33" s="17" t="s">
        <v>40</v>
      </c>
      <c r="E33" t="s">
        <v>29</v>
      </c>
      <c r="F33" s="104" t="s">
        <v>741</v>
      </c>
      <c r="G33" t="s">
        <v>33</v>
      </c>
      <c r="H33">
        <v>2</v>
      </c>
      <c r="I33">
        <f t="shared" ref="I33:I34" si="5">LN(B33)</f>
        <v>2.5649493574615367</v>
      </c>
      <c r="J33">
        <v>7.2284161474004766E-2</v>
      </c>
      <c r="K33" t="s">
        <v>31</v>
      </c>
      <c r="L33" t="s">
        <v>31</v>
      </c>
      <c r="M33" t="s">
        <v>31</v>
      </c>
      <c r="O33" s="119" t="s">
        <v>221</v>
      </c>
      <c r="P33" s="120">
        <v>13</v>
      </c>
      <c r="Q33" t="s">
        <v>221</v>
      </c>
      <c r="R33">
        <f>P33</f>
        <v>13</v>
      </c>
    </row>
    <row r="34" spans="1:20" ht="15.75">
      <c r="A34" s="47" t="s">
        <v>226</v>
      </c>
      <c r="B34">
        <f>R34</f>
        <v>1.3000000000000001E-2</v>
      </c>
      <c r="C34" t="s">
        <v>42</v>
      </c>
      <c r="D34" s="17" t="s">
        <v>40</v>
      </c>
      <c r="E34" t="s">
        <v>29</v>
      </c>
      <c r="F34" s="104" t="s">
        <v>741</v>
      </c>
      <c r="G34" t="s">
        <v>33</v>
      </c>
      <c r="H34">
        <v>2</v>
      </c>
      <c r="I34">
        <f t="shared" si="5"/>
        <v>-4.3428059215206005</v>
      </c>
      <c r="J34">
        <v>7.2284161474004766E-2</v>
      </c>
      <c r="K34" t="s">
        <v>31</v>
      </c>
      <c r="L34" t="s">
        <v>31</v>
      </c>
      <c r="M34" t="s">
        <v>31</v>
      </c>
      <c r="O34" s="154" t="s">
        <v>858</v>
      </c>
      <c r="P34" s="155">
        <v>13</v>
      </c>
      <c r="Q34" t="s">
        <v>219</v>
      </c>
      <c r="R34">
        <f>0.001*P34</f>
        <v>1.3000000000000001E-2</v>
      </c>
    </row>
    <row r="35" spans="1:20" s="41" customFormat="1" ht="15.75">
      <c r="A35" s="99" t="s">
        <v>5</v>
      </c>
      <c r="B35" s="108" t="s">
        <v>1923</v>
      </c>
    </row>
    <row r="36" spans="1:20">
      <c r="A36" s="101" t="s">
        <v>7</v>
      </c>
      <c r="B36" t="s">
        <v>1807</v>
      </c>
      <c r="C36" s="102"/>
    </row>
    <row r="37" spans="1:20">
      <c r="A37" s="114" t="s">
        <v>9</v>
      </c>
      <c r="B37" s="22" t="s">
        <v>1924</v>
      </c>
      <c r="C37" s="102"/>
    </row>
    <row r="38" spans="1:20" ht="15.75" customHeight="1">
      <c r="A38" s="101" t="s">
        <v>11</v>
      </c>
      <c r="B38" s="103" t="s">
        <v>789</v>
      </c>
    </row>
    <row r="39" spans="1:20">
      <c r="A39" s="101" t="s">
        <v>13</v>
      </c>
      <c r="B39" t="s">
        <v>14</v>
      </c>
    </row>
    <row r="40" spans="1:20">
      <c r="A40" s="101" t="s">
        <v>15</v>
      </c>
      <c r="B40" s="116">
        <f>B45</f>
        <v>0.03</v>
      </c>
    </row>
    <row r="41" spans="1:20">
      <c r="A41" s="101" t="s">
        <v>16</v>
      </c>
      <c r="B41" t="s">
        <v>17</v>
      </c>
    </row>
    <row r="42" spans="1:20">
      <c r="A42" s="101" t="s">
        <v>18</v>
      </c>
      <c r="B42" t="s">
        <v>113</v>
      </c>
    </row>
    <row r="43" spans="1:20" ht="15.75">
      <c r="A43" s="105" t="s">
        <v>19</v>
      </c>
    </row>
    <row r="44" spans="1:20" ht="15.75">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6"/>
    </row>
    <row r="45" spans="1:20">
      <c r="A45" t="s">
        <v>1923</v>
      </c>
      <c r="B45" s="116">
        <f>B29</f>
        <v>0.03</v>
      </c>
      <c r="C45" t="s">
        <v>113</v>
      </c>
      <c r="D45" s="169" t="s">
        <v>2</v>
      </c>
      <c r="E45" t="s">
        <v>29</v>
      </c>
      <c r="F45" t="s">
        <v>14</v>
      </c>
      <c r="G45" t="s">
        <v>30</v>
      </c>
      <c r="H45">
        <v>1</v>
      </c>
      <c r="I45" s="116">
        <f>B45</f>
        <v>0.03</v>
      </c>
      <c r="J45" t="s">
        <v>31</v>
      </c>
      <c r="K45" t="s">
        <v>31</v>
      </c>
      <c r="L45" t="s">
        <v>31</v>
      </c>
      <c r="M45" t="s">
        <v>31</v>
      </c>
      <c r="Q45" t="s">
        <v>1238</v>
      </c>
    </row>
    <row r="46" spans="1:20">
      <c r="A46" s="47" t="s">
        <v>892</v>
      </c>
      <c r="B46" s="165">
        <v>0.4</v>
      </c>
      <c r="C46" t="s">
        <v>37</v>
      </c>
      <c r="D46" t="s">
        <v>40</v>
      </c>
      <c r="E46" t="s">
        <v>29</v>
      </c>
      <c r="F46" t="s">
        <v>128</v>
      </c>
      <c r="G46" t="s">
        <v>33</v>
      </c>
      <c r="H46">
        <v>1</v>
      </c>
      <c r="I46" s="116">
        <f t="shared" ref="I46:I47" si="6">B46</f>
        <v>0.4</v>
      </c>
      <c r="J46" t="s">
        <v>31</v>
      </c>
      <c r="K46" t="s">
        <v>31</v>
      </c>
      <c r="L46" t="s">
        <v>31</v>
      </c>
      <c r="M46" t="s">
        <v>31</v>
      </c>
    </row>
    <row r="47" spans="1:20">
      <c r="A47" s="47" t="s">
        <v>893</v>
      </c>
      <c r="B47" s="165">
        <v>0.4</v>
      </c>
      <c r="C47" t="s">
        <v>37</v>
      </c>
      <c r="D47" t="s">
        <v>40</v>
      </c>
      <c r="E47" t="s">
        <v>29</v>
      </c>
      <c r="F47" t="s">
        <v>58</v>
      </c>
      <c r="G47" t="s">
        <v>33</v>
      </c>
      <c r="H47">
        <v>1</v>
      </c>
      <c r="I47" s="116">
        <f t="shared" si="6"/>
        <v>0.4</v>
      </c>
      <c r="J47" t="s">
        <v>31</v>
      </c>
      <c r="K47" t="s">
        <v>31</v>
      </c>
      <c r="L47" t="s">
        <v>31</v>
      </c>
      <c r="M47" t="s">
        <v>31</v>
      </c>
    </row>
  </sheetData>
  <pageMargins left="0.7" right="0.7" top="0.75" bottom="0.75" header="0.3" footer="0.3"/>
  <pageSetup paperSize="9" orientation="portrai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900EC-E959-452E-8E4B-A8525946F5A3}">
  <sheetPr>
    <tabColor theme="8" tint="0.79998168889431442"/>
  </sheetPr>
  <dimension ref="A1:Y57"/>
  <sheetViews>
    <sheetView zoomScale="85" zoomScaleNormal="85" workbookViewId="0">
      <selection activeCell="B13" sqref="B13"/>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42"/>
      <c r="S1" s="112"/>
    </row>
    <row r="2" spans="1:21" s="41" customFormat="1" ht="15.75">
      <c r="A2" s="99" t="s">
        <v>5</v>
      </c>
      <c r="B2" s="108" t="s">
        <v>1837</v>
      </c>
      <c r="C2" s="108"/>
      <c r="R2" s="40"/>
      <c r="S2" s="170"/>
    </row>
    <row r="3" spans="1:21">
      <c r="A3" s="101" t="s">
        <v>7</v>
      </c>
      <c r="B3" t="s">
        <v>1807</v>
      </c>
      <c r="D3" s="102"/>
      <c r="R3" s="42"/>
      <c r="S3" s="112"/>
    </row>
    <row r="4" spans="1:21">
      <c r="A4" s="114" t="s">
        <v>9</v>
      </c>
      <c r="B4" t="s">
        <v>1925</v>
      </c>
      <c r="D4" s="102"/>
    </row>
    <row r="5" spans="1:21" ht="15.75" customHeight="1">
      <c r="A5" s="101" t="s">
        <v>11</v>
      </c>
      <c r="B5" s="103" t="s">
        <v>789</v>
      </c>
      <c r="C5" s="103"/>
    </row>
    <row r="6" spans="1:21">
      <c r="A6" s="101" t="s">
        <v>13</v>
      </c>
      <c r="B6" t="s">
        <v>14</v>
      </c>
    </row>
    <row r="7" spans="1:21">
      <c r="A7" s="101" t="s">
        <v>15</v>
      </c>
      <c r="B7" s="23">
        <f>B12</f>
        <v>8.52</v>
      </c>
      <c r="C7" s="23"/>
    </row>
    <row r="8" spans="1:21">
      <c r="A8" s="101" t="s">
        <v>16</v>
      </c>
      <c r="B8" t="s">
        <v>17</v>
      </c>
    </row>
    <row r="9" spans="1:21">
      <c r="A9" s="101" t="s">
        <v>18</v>
      </c>
      <c r="B9" t="s">
        <v>37</v>
      </c>
    </row>
    <row r="10" spans="1:21" ht="15.75">
      <c r="A10" s="105" t="s">
        <v>19</v>
      </c>
    </row>
    <row r="11" spans="1:21" ht="15.75">
      <c r="A11" s="16" t="s">
        <v>20</v>
      </c>
      <c r="B11" s="16" t="s">
        <v>21</v>
      </c>
      <c r="C11" s="122" t="s">
        <v>198</v>
      </c>
      <c r="D11" s="16" t="s">
        <v>18</v>
      </c>
      <c r="E11" s="16" t="s">
        <v>22</v>
      </c>
      <c r="F11" s="16" t="s">
        <v>7</v>
      </c>
      <c r="G11" s="16" t="s">
        <v>13</v>
      </c>
      <c r="H11" s="16" t="s">
        <v>16</v>
      </c>
      <c r="I11" s="16" t="s">
        <v>23</v>
      </c>
      <c r="J11" s="16" t="s">
        <v>24</v>
      </c>
      <c r="K11" s="16" t="s">
        <v>25</v>
      </c>
      <c r="L11" s="16" t="s">
        <v>26</v>
      </c>
      <c r="M11" s="16" t="s">
        <v>27</v>
      </c>
      <c r="N11" s="16" t="s">
        <v>28</v>
      </c>
      <c r="O11" s="16" t="s">
        <v>11</v>
      </c>
      <c r="U11" s="116"/>
    </row>
    <row r="12" spans="1:21" ht="15.75">
      <c r="A12" t="s">
        <v>1837</v>
      </c>
      <c r="B12">
        <f>B48</f>
        <v>8.52</v>
      </c>
      <c r="D12" t="s">
        <v>37</v>
      </c>
      <c r="E12" s="111" t="s">
        <v>2</v>
      </c>
      <c r="F12" t="s">
        <v>29</v>
      </c>
      <c r="G12" t="s">
        <v>14</v>
      </c>
      <c r="H12" t="s">
        <v>30</v>
      </c>
      <c r="I12">
        <v>1</v>
      </c>
      <c r="J12">
        <f>B12</f>
        <v>8.52</v>
      </c>
      <c r="K12" t="s">
        <v>31</v>
      </c>
      <c r="L12" t="s">
        <v>31</v>
      </c>
      <c r="M12" t="s">
        <v>31</v>
      </c>
      <c r="N12" t="s">
        <v>31</v>
      </c>
      <c r="P12" s="42"/>
      <c r="Q12" s="112"/>
    </row>
    <row r="13" spans="1:21" ht="15.75">
      <c r="A13" t="s">
        <v>1926</v>
      </c>
      <c r="B13">
        <v>1</v>
      </c>
      <c r="D13" t="s">
        <v>18</v>
      </c>
      <c r="E13" s="111" t="s">
        <v>2</v>
      </c>
      <c r="F13" t="s">
        <v>29</v>
      </c>
      <c r="G13" t="s">
        <v>14</v>
      </c>
      <c r="H13" t="s">
        <v>33</v>
      </c>
      <c r="I13">
        <v>1</v>
      </c>
      <c r="J13">
        <v>1</v>
      </c>
      <c r="K13" t="s">
        <v>31</v>
      </c>
      <c r="L13" t="s">
        <v>31</v>
      </c>
      <c r="M13" t="s">
        <v>31</v>
      </c>
      <c r="N13" t="s">
        <v>31</v>
      </c>
    </row>
    <row r="14" spans="1:21" ht="15.75">
      <c r="A14" s="106" t="s">
        <v>38</v>
      </c>
      <c r="B14" s="113">
        <f>Q14</f>
        <v>0.25</v>
      </c>
      <c r="C14" s="113"/>
      <c r="D14" t="s">
        <v>39</v>
      </c>
      <c r="E14" s="17" t="s">
        <v>40</v>
      </c>
      <c r="F14" t="s">
        <v>29</v>
      </c>
      <c r="G14" s="104" t="s">
        <v>35</v>
      </c>
      <c r="H14" t="s">
        <v>33</v>
      </c>
      <c r="I14">
        <v>2</v>
      </c>
      <c r="J14">
        <f t="shared" ref="J14:J18" si="0">LN(B14)</f>
        <v>-1.3862943611198906</v>
      </c>
      <c r="K14" s="151">
        <v>9.6046863561492793E-2</v>
      </c>
      <c r="L14" t="s">
        <v>31</v>
      </c>
      <c r="M14" t="s">
        <v>31</v>
      </c>
      <c r="N14" t="s">
        <v>31</v>
      </c>
      <c r="P14" s="119" t="s">
        <v>216</v>
      </c>
      <c r="Q14" s="120">
        <v>0.25</v>
      </c>
    </row>
    <row r="15" spans="1:21" ht="15.75">
      <c r="A15" s="106" t="s">
        <v>38</v>
      </c>
      <c r="B15" s="113">
        <f>Q15</f>
        <v>0.5</v>
      </c>
      <c r="C15" s="113"/>
      <c r="D15" t="s">
        <v>39</v>
      </c>
      <c r="E15" s="17" t="s">
        <v>40</v>
      </c>
      <c r="F15" t="s">
        <v>29</v>
      </c>
      <c r="G15" s="104" t="s">
        <v>58</v>
      </c>
      <c r="H15" t="s">
        <v>33</v>
      </c>
      <c r="I15">
        <v>2</v>
      </c>
      <c r="J15">
        <f t="shared" si="0"/>
        <v>-0.69314718055994529</v>
      </c>
      <c r="K15" s="151">
        <v>9.6046863561492793E-2</v>
      </c>
      <c r="L15" t="s">
        <v>31</v>
      </c>
      <c r="M15" t="s">
        <v>31</v>
      </c>
      <c r="N15" t="s">
        <v>31</v>
      </c>
      <c r="P15" s="119" t="s">
        <v>216</v>
      </c>
      <c r="Q15" s="120">
        <v>0.5</v>
      </c>
    </row>
    <row r="16" spans="1:21" ht="15.75">
      <c r="A16" s="47" t="s">
        <v>896</v>
      </c>
      <c r="B16">
        <f>S16</f>
        <v>6.5000000000000002E-2</v>
      </c>
      <c r="D16" t="s">
        <v>37</v>
      </c>
      <c r="E16" s="17" t="s">
        <v>40</v>
      </c>
      <c r="F16" t="s">
        <v>29</v>
      </c>
      <c r="G16" t="s">
        <v>35</v>
      </c>
      <c r="H16" t="s">
        <v>33</v>
      </c>
      <c r="I16">
        <v>2</v>
      </c>
      <c r="J16">
        <f t="shared" si="0"/>
        <v>-2.7333680090865</v>
      </c>
      <c r="K16" s="151">
        <v>9.6046863561492793E-2</v>
      </c>
      <c r="L16" t="s">
        <v>31</v>
      </c>
      <c r="M16" t="s">
        <v>31</v>
      </c>
      <c r="N16" t="s">
        <v>31</v>
      </c>
      <c r="P16" s="119" t="s">
        <v>575</v>
      </c>
      <c r="Q16" s="120">
        <v>65</v>
      </c>
      <c r="R16" s="119" t="s">
        <v>221</v>
      </c>
      <c r="S16" s="120">
        <f>0.001*Q16</f>
        <v>6.5000000000000002E-2</v>
      </c>
    </row>
    <row r="17" spans="1:21" ht="15.75">
      <c r="A17" s="47" t="s">
        <v>897</v>
      </c>
      <c r="B17">
        <f>Q17</f>
        <v>1.2</v>
      </c>
      <c r="D17" t="s">
        <v>37</v>
      </c>
      <c r="E17" s="17" t="s">
        <v>40</v>
      </c>
      <c r="F17" t="s">
        <v>29</v>
      </c>
      <c r="G17" s="104" t="s">
        <v>741</v>
      </c>
      <c r="H17" t="s">
        <v>33</v>
      </c>
      <c r="I17">
        <v>2</v>
      </c>
      <c r="J17">
        <f t="shared" si="0"/>
        <v>0.18232155679395459</v>
      </c>
      <c r="K17" s="151">
        <v>9.6046863561492793E-2</v>
      </c>
      <c r="L17" t="s">
        <v>31</v>
      </c>
      <c r="M17" t="s">
        <v>31</v>
      </c>
      <c r="N17" t="s">
        <v>31</v>
      </c>
      <c r="P17" s="119" t="s">
        <v>221</v>
      </c>
      <c r="Q17" s="120">
        <v>1.2</v>
      </c>
    </row>
    <row r="18" spans="1:21" ht="15.75">
      <c r="A18" s="47" t="s">
        <v>786</v>
      </c>
      <c r="B18">
        <f>S18</f>
        <v>6.5000000000000002E-2</v>
      </c>
      <c r="D18" t="s">
        <v>37</v>
      </c>
      <c r="E18" s="17" t="s">
        <v>40</v>
      </c>
      <c r="F18" t="s">
        <v>29</v>
      </c>
      <c r="G18" s="104" t="s">
        <v>741</v>
      </c>
      <c r="H18" t="s">
        <v>33</v>
      </c>
      <c r="I18">
        <v>2</v>
      </c>
      <c r="J18">
        <f t="shared" si="0"/>
        <v>-2.7333680090865</v>
      </c>
      <c r="K18" s="151">
        <v>9.6046863561492793E-2</v>
      </c>
      <c r="L18" t="s">
        <v>31</v>
      </c>
      <c r="M18" t="s">
        <v>31</v>
      </c>
      <c r="N18" t="s">
        <v>31</v>
      </c>
      <c r="P18" s="119" t="s">
        <v>575</v>
      </c>
      <c r="Q18" s="155">
        <v>65</v>
      </c>
      <c r="R18" s="119" t="s">
        <v>221</v>
      </c>
      <c r="S18" s="120">
        <f>0.001*Q18</f>
        <v>6.5000000000000002E-2</v>
      </c>
    </row>
    <row r="19" spans="1:21" s="41" customFormat="1" ht="15.75">
      <c r="A19" s="99" t="s">
        <v>5</v>
      </c>
      <c r="B19" s="108" t="str">
        <f>A29</f>
        <v>production of machined casing, mass scaled activities, DCDC power module, battery charging, medium-term</v>
      </c>
      <c r="C19" s="108"/>
    </row>
    <row r="20" spans="1:21">
      <c r="A20" s="101" t="s">
        <v>7</v>
      </c>
      <c r="B20" t="s">
        <v>1807</v>
      </c>
      <c r="D20" s="102"/>
    </row>
    <row r="21" spans="1:21">
      <c r="A21" s="114" t="s">
        <v>9</v>
      </c>
      <c r="B21" t="s">
        <v>1927</v>
      </c>
      <c r="D21" s="102"/>
    </row>
    <row r="22" spans="1:21" ht="15.75" customHeight="1">
      <c r="A22" s="101" t="s">
        <v>11</v>
      </c>
      <c r="B22" s="103" t="s">
        <v>789</v>
      </c>
      <c r="C22" s="103"/>
    </row>
    <row r="23" spans="1:21">
      <c r="A23" s="101" t="s">
        <v>13</v>
      </c>
      <c r="B23" t="s">
        <v>14</v>
      </c>
    </row>
    <row r="24" spans="1:21">
      <c r="A24" s="101" t="s">
        <v>15</v>
      </c>
      <c r="B24" s="23">
        <v>1</v>
      </c>
      <c r="C24" s="23"/>
    </row>
    <row r="25" spans="1:21">
      <c r="A25" s="101" t="s">
        <v>16</v>
      </c>
      <c r="B25" t="s">
        <v>17</v>
      </c>
    </row>
    <row r="26" spans="1:21">
      <c r="A26" s="101" t="s">
        <v>18</v>
      </c>
      <c r="B26" t="s">
        <v>18</v>
      </c>
    </row>
    <row r="27" spans="1:21" ht="15.75">
      <c r="A27" s="105" t="s">
        <v>19</v>
      </c>
    </row>
    <row r="28" spans="1:21" ht="15.75">
      <c r="A28" s="16" t="s">
        <v>20</v>
      </c>
      <c r="B28" s="16" t="s">
        <v>21</v>
      </c>
      <c r="C28" s="122" t="s">
        <v>198</v>
      </c>
      <c r="D28" s="16" t="s">
        <v>18</v>
      </c>
      <c r="E28" s="16" t="s">
        <v>22</v>
      </c>
      <c r="F28" s="16" t="s">
        <v>7</v>
      </c>
      <c r="G28" s="16" t="s">
        <v>13</v>
      </c>
      <c r="H28" s="16" t="s">
        <v>16</v>
      </c>
      <c r="I28" s="16" t="s">
        <v>23</v>
      </c>
      <c r="J28" s="16" t="s">
        <v>24</v>
      </c>
      <c r="K28" s="16" t="s">
        <v>25</v>
      </c>
      <c r="L28" s="16" t="s">
        <v>26</v>
      </c>
      <c r="M28" s="16" t="s">
        <v>27</v>
      </c>
      <c r="N28" s="16" t="s">
        <v>28</v>
      </c>
      <c r="O28" s="16" t="s">
        <v>11</v>
      </c>
      <c r="U28" s="116"/>
    </row>
    <row r="29" spans="1:21" ht="15.75">
      <c r="A29" t="s">
        <v>1926</v>
      </c>
      <c r="B29">
        <v>1</v>
      </c>
      <c r="D29" t="s">
        <v>18</v>
      </c>
      <c r="E29" s="111" t="s">
        <v>2</v>
      </c>
      <c r="F29" t="s">
        <v>29</v>
      </c>
      <c r="G29" t="s">
        <v>14</v>
      </c>
      <c r="H29" t="s">
        <v>30</v>
      </c>
      <c r="I29">
        <v>1</v>
      </c>
      <c r="J29">
        <v>1</v>
      </c>
      <c r="K29" t="s">
        <v>31</v>
      </c>
      <c r="L29" t="s">
        <v>31</v>
      </c>
      <c r="M29" t="s">
        <v>31</v>
      </c>
      <c r="N29" t="s">
        <v>31</v>
      </c>
      <c r="Q29" s="165">
        <v>8.11</v>
      </c>
    </row>
    <row r="30" spans="1:21">
      <c r="A30" t="s">
        <v>1928</v>
      </c>
      <c r="B30" s="23">
        <f>B43</f>
        <v>8.52</v>
      </c>
      <c r="D30" t="s">
        <v>37</v>
      </c>
      <c r="E30" s="169" t="s">
        <v>2</v>
      </c>
      <c r="F30" t="s">
        <v>29</v>
      </c>
      <c r="G30" t="s">
        <v>14</v>
      </c>
      <c r="H30" t="s">
        <v>33</v>
      </c>
      <c r="I30">
        <v>2</v>
      </c>
      <c r="J30">
        <f>LN(B30)</f>
        <v>2.1424163408412245</v>
      </c>
      <c r="K30">
        <v>0.10307764064044142</v>
      </c>
      <c r="L30" t="s">
        <v>31</v>
      </c>
      <c r="M30" t="s">
        <v>31</v>
      </c>
      <c r="N30" t="s">
        <v>31</v>
      </c>
    </row>
    <row r="31" spans="1:21" ht="15.75">
      <c r="A31" s="106" t="s">
        <v>38</v>
      </c>
      <c r="B31" s="113">
        <f>Q31</f>
        <v>0.49</v>
      </c>
      <c r="C31" s="113"/>
      <c r="D31" t="s">
        <v>39</v>
      </c>
      <c r="E31" s="17" t="s">
        <v>40</v>
      </c>
      <c r="F31" t="s">
        <v>29</v>
      </c>
      <c r="G31" s="104" t="s">
        <v>58</v>
      </c>
      <c r="H31" t="s">
        <v>33</v>
      </c>
      <c r="I31">
        <v>2</v>
      </c>
      <c r="J31">
        <f t="shared" ref="J31:J37" si="1">LN(B31)</f>
        <v>-0.71334988787746478</v>
      </c>
      <c r="K31">
        <v>9.6046863561492793E-2</v>
      </c>
      <c r="L31" t="s">
        <v>31</v>
      </c>
      <c r="M31" t="s">
        <v>31</v>
      </c>
      <c r="N31" t="s">
        <v>31</v>
      </c>
      <c r="P31" s="119" t="s">
        <v>216</v>
      </c>
      <c r="Q31" s="120">
        <v>0.49</v>
      </c>
    </row>
    <row r="32" spans="1:21" ht="15.75">
      <c r="A32" s="47" t="s">
        <v>896</v>
      </c>
      <c r="B32">
        <f>S32</f>
        <v>0.114</v>
      </c>
      <c r="D32" t="s">
        <v>37</v>
      </c>
      <c r="E32" s="17" t="s">
        <v>40</v>
      </c>
      <c r="F32" t="s">
        <v>29</v>
      </c>
      <c r="G32" t="s">
        <v>35</v>
      </c>
      <c r="H32" t="s">
        <v>33</v>
      </c>
      <c r="I32">
        <v>2</v>
      </c>
      <c r="J32">
        <f t="shared" si="1"/>
        <v>-2.1715568305876416</v>
      </c>
      <c r="K32">
        <v>9.6046863561492793E-2</v>
      </c>
      <c r="L32" t="s">
        <v>31</v>
      </c>
      <c r="M32" t="s">
        <v>31</v>
      </c>
      <c r="N32" t="s">
        <v>31</v>
      </c>
      <c r="P32" s="119" t="s">
        <v>575</v>
      </c>
      <c r="Q32" s="120">
        <v>114</v>
      </c>
      <c r="R32" s="119" t="s">
        <v>221</v>
      </c>
      <c r="S32" s="120">
        <f>0.001*Q32</f>
        <v>0.114</v>
      </c>
    </row>
    <row r="33" spans="1:21" ht="15.75">
      <c r="A33" s="47" t="s">
        <v>897</v>
      </c>
      <c r="B33">
        <f>Q33</f>
        <v>2.1</v>
      </c>
      <c r="D33" t="s">
        <v>37</v>
      </c>
      <c r="E33" s="17" t="s">
        <v>40</v>
      </c>
      <c r="F33" t="s">
        <v>29</v>
      </c>
      <c r="G33" s="104" t="s">
        <v>741</v>
      </c>
      <c r="H33" t="s">
        <v>33</v>
      </c>
      <c r="I33">
        <v>2</v>
      </c>
      <c r="J33">
        <f t="shared" si="1"/>
        <v>0.74193734472937733</v>
      </c>
      <c r="K33">
        <v>9.6046863561492793E-2</v>
      </c>
      <c r="L33" t="s">
        <v>31</v>
      </c>
      <c r="M33" t="s">
        <v>31</v>
      </c>
      <c r="N33" t="s">
        <v>31</v>
      </c>
      <c r="P33" s="119" t="s">
        <v>221</v>
      </c>
      <c r="Q33" s="120">
        <v>2.1</v>
      </c>
    </row>
    <row r="34" spans="1:21" ht="15.75">
      <c r="A34" s="171" t="s">
        <v>247</v>
      </c>
      <c r="B34">
        <f>S35</f>
        <v>0.114</v>
      </c>
      <c r="C34" s="42" t="s">
        <v>248</v>
      </c>
      <c r="D34" t="s">
        <v>37</v>
      </c>
      <c r="E34" s="17" t="s">
        <v>40</v>
      </c>
      <c r="F34" t="s">
        <v>29</v>
      </c>
      <c r="G34" s="104" t="s">
        <v>35</v>
      </c>
      <c r="H34" t="s">
        <v>33</v>
      </c>
      <c r="I34">
        <v>2</v>
      </c>
      <c r="J34">
        <f t="shared" si="1"/>
        <v>-2.1715568305876416</v>
      </c>
      <c r="K34">
        <v>9.6046863561492793E-2</v>
      </c>
      <c r="L34" t="s">
        <v>31</v>
      </c>
      <c r="M34" t="s">
        <v>31</v>
      </c>
      <c r="N34" t="s">
        <v>31</v>
      </c>
      <c r="P34" s="119"/>
      <c r="Q34" s="155">
        <v>430</v>
      </c>
    </row>
    <row r="35" spans="1:21" ht="15.75">
      <c r="A35" s="42" t="s">
        <v>245</v>
      </c>
      <c r="B35">
        <f>S35</f>
        <v>0.114</v>
      </c>
      <c r="D35" t="s">
        <v>37</v>
      </c>
      <c r="E35" s="17" t="s">
        <v>40</v>
      </c>
      <c r="F35" t="s">
        <v>29</v>
      </c>
      <c r="G35" t="s">
        <v>35</v>
      </c>
      <c r="H35" t="s">
        <v>33</v>
      </c>
      <c r="I35">
        <v>2</v>
      </c>
      <c r="J35">
        <f t="shared" si="1"/>
        <v>-2.1715568305876416</v>
      </c>
      <c r="K35">
        <v>9.6046863561492793E-2</v>
      </c>
      <c r="L35" t="s">
        <v>31</v>
      </c>
      <c r="M35" t="s">
        <v>31</v>
      </c>
      <c r="N35" t="s">
        <v>31</v>
      </c>
      <c r="P35" s="154" t="s">
        <v>575</v>
      </c>
      <c r="Q35" s="155">
        <v>430</v>
      </c>
      <c r="R35" s="119" t="s">
        <v>221</v>
      </c>
      <c r="S35" s="120">
        <f>0.001*Q37</f>
        <v>0.114</v>
      </c>
    </row>
    <row r="36" spans="1:21" ht="15.75">
      <c r="A36" s="47" t="s">
        <v>900</v>
      </c>
      <c r="B36">
        <f>S35</f>
        <v>0.114</v>
      </c>
      <c r="D36" t="s">
        <v>37</v>
      </c>
      <c r="E36" s="17" t="s">
        <v>40</v>
      </c>
      <c r="F36" t="s">
        <v>29</v>
      </c>
      <c r="G36" t="s">
        <v>58</v>
      </c>
      <c r="H36" t="s">
        <v>243</v>
      </c>
      <c r="I36">
        <v>2</v>
      </c>
      <c r="J36">
        <f t="shared" si="1"/>
        <v>-2.1715568305876416</v>
      </c>
      <c r="K36">
        <v>9.6046863561492793E-2</v>
      </c>
      <c r="L36" t="s">
        <v>31</v>
      </c>
      <c r="M36" t="s">
        <v>31</v>
      </c>
      <c r="N36" t="s">
        <v>31</v>
      </c>
      <c r="P36" s="154" t="s">
        <v>575</v>
      </c>
      <c r="Q36" s="155">
        <v>430</v>
      </c>
      <c r="R36" s="119" t="s">
        <v>221</v>
      </c>
      <c r="S36" s="120">
        <f>0.001*Q36</f>
        <v>0.43</v>
      </c>
    </row>
    <row r="37" spans="1:21" ht="15.75">
      <c r="A37" s="47" t="s">
        <v>786</v>
      </c>
      <c r="B37">
        <f>S37</f>
        <v>0.114</v>
      </c>
      <c r="D37" t="s">
        <v>37</v>
      </c>
      <c r="E37" s="17" t="s">
        <v>40</v>
      </c>
      <c r="F37" t="s">
        <v>29</v>
      </c>
      <c r="G37" s="104" t="s">
        <v>741</v>
      </c>
      <c r="H37" t="s">
        <v>33</v>
      </c>
      <c r="I37">
        <v>2</v>
      </c>
      <c r="J37">
        <f t="shared" si="1"/>
        <v>-2.1715568305876416</v>
      </c>
      <c r="K37">
        <v>9.6046863561492793E-2</v>
      </c>
      <c r="L37" t="s">
        <v>31</v>
      </c>
      <c r="M37" t="s">
        <v>31</v>
      </c>
      <c r="N37" t="s">
        <v>31</v>
      </c>
      <c r="P37" s="154" t="s">
        <v>575</v>
      </c>
      <c r="Q37" s="155">
        <v>114</v>
      </c>
      <c r="R37" s="119" t="s">
        <v>221</v>
      </c>
      <c r="S37" s="120">
        <f>0.001*Q37</f>
        <v>0.114</v>
      </c>
    </row>
    <row r="38" spans="1:21" s="41" customFormat="1" ht="15.75">
      <c r="A38" s="99" t="s">
        <v>5</v>
      </c>
      <c r="B38" s="108" t="s">
        <v>1928</v>
      </c>
      <c r="C38" s="108"/>
    </row>
    <row r="39" spans="1:21">
      <c r="A39" s="101" t="s">
        <v>7</v>
      </c>
      <c r="B39" t="s">
        <v>1807</v>
      </c>
      <c r="D39" s="102"/>
    </row>
    <row r="40" spans="1:21">
      <c r="A40" s="114" t="s">
        <v>9</v>
      </c>
      <c r="B40" t="s">
        <v>1929</v>
      </c>
      <c r="D40" s="102"/>
    </row>
    <row r="41" spans="1:21" ht="15.75" customHeight="1">
      <c r="A41" s="101" t="s">
        <v>11</v>
      </c>
      <c r="B41" s="103" t="s">
        <v>789</v>
      </c>
      <c r="C41" s="103"/>
    </row>
    <row r="42" spans="1:21">
      <c r="A42" s="101" t="s">
        <v>13</v>
      </c>
      <c r="B42" t="s">
        <v>14</v>
      </c>
    </row>
    <row r="43" spans="1:21">
      <c r="A43" s="101" t="s">
        <v>15</v>
      </c>
      <c r="B43" s="23">
        <f>B48</f>
        <v>8.52</v>
      </c>
      <c r="C43" s="23"/>
    </row>
    <row r="44" spans="1:21">
      <c r="A44" s="101" t="s">
        <v>16</v>
      </c>
      <c r="B44" t="s">
        <v>17</v>
      </c>
    </row>
    <row r="45" spans="1:21">
      <c r="A45" s="101" t="s">
        <v>18</v>
      </c>
      <c r="B45" t="s">
        <v>37</v>
      </c>
    </row>
    <row r="46" spans="1:21" ht="15.75">
      <c r="A46" s="105" t="s">
        <v>19</v>
      </c>
    </row>
    <row r="47" spans="1:21" ht="15.75">
      <c r="A47" s="16" t="s">
        <v>20</v>
      </c>
      <c r="B47" s="16" t="s">
        <v>21</v>
      </c>
      <c r="C47" s="122" t="s">
        <v>198</v>
      </c>
      <c r="D47" s="16" t="s">
        <v>18</v>
      </c>
      <c r="E47" s="16" t="s">
        <v>22</v>
      </c>
      <c r="F47" s="16" t="s">
        <v>7</v>
      </c>
      <c r="G47" s="16" t="s">
        <v>13</v>
      </c>
      <c r="H47" s="16" t="s">
        <v>16</v>
      </c>
      <c r="I47" s="16" t="s">
        <v>23</v>
      </c>
      <c r="J47" s="16" t="s">
        <v>24</v>
      </c>
      <c r="K47" s="16" t="s">
        <v>25</v>
      </c>
      <c r="L47" s="16" t="s">
        <v>26</v>
      </c>
      <c r="M47" s="16" t="s">
        <v>27</v>
      </c>
      <c r="N47" s="16" t="s">
        <v>28</v>
      </c>
      <c r="O47" s="16" t="s">
        <v>11</v>
      </c>
      <c r="U47" s="116"/>
    </row>
    <row r="48" spans="1:21">
      <c r="A48" t="s">
        <v>1928</v>
      </c>
      <c r="B48">
        <f>Q48</f>
        <v>8.52</v>
      </c>
      <c r="D48" t="s">
        <v>37</v>
      </c>
      <c r="E48" s="169" t="s">
        <v>2</v>
      </c>
      <c r="F48" t="s">
        <v>29</v>
      </c>
      <c r="G48" t="s">
        <v>14</v>
      </c>
      <c r="H48" t="s">
        <v>30</v>
      </c>
      <c r="I48">
        <v>2</v>
      </c>
      <c r="J48">
        <f>LN(B48)</f>
        <v>2.1424163408412245</v>
      </c>
      <c r="K48">
        <v>0.10307764064044142</v>
      </c>
      <c r="L48" t="s">
        <v>31</v>
      </c>
      <c r="M48" t="s">
        <v>31</v>
      </c>
      <c r="N48" t="s">
        <v>31</v>
      </c>
      <c r="Q48" s="172">
        <v>8.52</v>
      </c>
    </row>
    <row r="49" spans="1:25" ht="15.75">
      <c r="A49" s="47" t="s">
        <v>900</v>
      </c>
      <c r="B49">
        <f>Q49</f>
        <v>9.0299999999999994</v>
      </c>
      <c r="D49" t="s">
        <v>37</v>
      </c>
      <c r="E49" s="17" t="s">
        <v>40</v>
      </c>
      <c r="F49" t="s">
        <v>29</v>
      </c>
      <c r="G49" t="s">
        <v>58</v>
      </c>
      <c r="H49" t="s">
        <v>33</v>
      </c>
      <c r="I49">
        <v>2</v>
      </c>
      <c r="J49">
        <f t="shared" ref="J49:J57" si="2">LN(B49)</f>
        <v>2.200552367428894</v>
      </c>
      <c r="K49">
        <v>4.9999999999998969E-3</v>
      </c>
      <c r="L49" t="s">
        <v>31</v>
      </c>
      <c r="M49" t="s">
        <v>31</v>
      </c>
      <c r="N49" t="s">
        <v>31</v>
      </c>
      <c r="P49" s="119" t="s">
        <v>221</v>
      </c>
      <c r="Q49" s="120">
        <v>9.0299999999999994</v>
      </c>
    </row>
    <row r="50" spans="1:25" ht="15.75">
      <c r="A50" s="24" t="s">
        <v>77</v>
      </c>
      <c r="B50">
        <f>S50</f>
        <v>2.402088772845953</v>
      </c>
      <c r="D50" t="s">
        <v>42</v>
      </c>
      <c r="E50" s="17" t="s">
        <v>40</v>
      </c>
      <c r="F50" t="s">
        <v>29</v>
      </c>
      <c r="G50" t="s">
        <v>217</v>
      </c>
      <c r="H50" t="s">
        <v>33</v>
      </c>
      <c r="I50">
        <v>2</v>
      </c>
      <c r="J50">
        <f t="shared" si="2"/>
        <v>0.87633868086244004</v>
      </c>
      <c r="K50">
        <v>4.9999999999998969E-3</v>
      </c>
      <c r="L50" t="s">
        <v>31</v>
      </c>
      <c r="M50" t="s">
        <v>31</v>
      </c>
      <c r="N50" t="s">
        <v>31</v>
      </c>
      <c r="P50" s="119" t="s">
        <v>218</v>
      </c>
      <c r="Q50" s="120">
        <v>92</v>
      </c>
      <c r="R50" t="s">
        <v>219</v>
      </c>
      <c r="S50">
        <f>Q50/38.3</f>
        <v>2.402088772845953</v>
      </c>
      <c r="T50" s="173"/>
      <c r="U50" s="174"/>
      <c r="V50" s="174"/>
      <c r="W50" s="174"/>
      <c r="X50" s="174"/>
      <c r="Y50" s="174"/>
    </row>
    <row r="51" spans="1:25" ht="15.75">
      <c r="A51" s="106" t="s">
        <v>38</v>
      </c>
      <c r="B51" s="113">
        <f>Q51</f>
        <v>22.2</v>
      </c>
      <c r="C51" s="113"/>
      <c r="D51" t="s">
        <v>39</v>
      </c>
      <c r="E51" s="17" t="s">
        <v>40</v>
      </c>
      <c r="F51" t="s">
        <v>29</v>
      </c>
      <c r="G51" s="104" t="s">
        <v>58</v>
      </c>
      <c r="H51" t="s">
        <v>33</v>
      </c>
      <c r="I51">
        <v>2</v>
      </c>
      <c r="J51">
        <f t="shared" si="2"/>
        <v>3.1000922888782338</v>
      </c>
      <c r="K51">
        <v>4.9999999999998969E-3</v>
      </c>
      <c r="L51" t="s">
        <v>31</v>
      </c>
      <c r="M51" t="s">
        <v>31</v>
      </c>
      <c r="N51" t="s">
        <v>31</v>
      </c>
      <c r="P51" s="119" t="s">
        <v>216</v>
      </c>
      <c r="Q51" s="120">
        <v>22.2</v>
      </c>
    </row>
    <row r="52" spans="1:25" ht="15.75">
      <c r="A52" s="47" t="s">
        <v>902</v>
      </c>
      <c r="B52">
        <f>S52</f>
        <v>0.17</v>
      </c>
      <c r="D52" t="s">
        <v>37</v>
      </c>
      <c r="E52" s="17" t="s">
        <v>40</v>
      </c>
      <c r="F52" t="s">
        <v>29</v>
      </c>
      <c r="G52" t="s">
        <v>35</v>
      </c>
      <c r="H52" t="s">
        <v>33</v>
      </c>
      <c r="I52">
        <v>2</v>
      </c>
      <c r="J52">
        <f t="shared" si="2"/>
        <v>-1.7719568419318752</v>
      </c>
      <c r="K52">
        <v>0.10049875621120885</v>
      </c>
      <c r="L52" t="s">
        <v>31</v>
      </c>
      <c r="M52" t="s">
        <v>31</v>
      </c>
      <c r="N52" t="s">
        <v>31</v>
      </c>
      <c r="P52" s="119" t="s">
        <v>575</v>
      </c>
      <c r="Q52" s="120">
        <v>170</v>
      </c>
      <c r="R52" s="119" t="s">
        <v>221</v>
      </c>
      <c r="S52" s="120">
        <f t="shared" ref="S52:S54" si="3">0.001*Q52</f>
        <v>0.17</v>
      </c>
    </row>
    <row r="53" spans="1:25">
      <c r="A53" s="47" t="s">
        <v>903</v>
      </c>
      <c r="B53">
        <f>S53</f>
        <v>3.3999999999999998E-3</v>
      </c>
      <c r="D53" t="s">
        <v>37</v>
      </c>
      <c r="E53" t="s">
        <v>43</v>
      </c>
      <c r="F53" t="s">
        <v>44</v>
      </c>
      <c r="G53" t="s">
        <v>29</v>
      </c>
      <c r="H53" t="s">
        <v>45</v>
      </c>
      <c r="I53">
        <v>2</v>
      </c>
      <c r="J53">
        <f t="shared" si="2"/>
        <v>-5.6839798473600212</v>
      </c>
      <c r="K53">
        <v>4.9999999999998969E-3</v>
      </c>
      <c r="L53" t="s">
        <v>31</v>
      </c>
      <c r="M53" t="s">
        <v>31</v>
      </c>
      <c r="N53" t="s">
        <v>31</v>
      </c>
      <c r="P53" s="152" t="s">
        <v>575</v>
      </c>
      <c r="Q53" s="168">
        <v>3.4</v>
      </c>
      <c r="R53" s="119" t="s">
        <v>221</v>
      </c>
      <c r="S53" s="120">
        <f t="shared" si="3"/>
        <v>3.3999999999999998E-3</v>
      </c>
    </row>
    <row r="54" spans="1:25" ht="15.75">
      <c r="A54" s="106" t="s">
        <v>760</v>
      </c>
      <c r="B54">
        <f>S54</f>
        <v>8.5000000000000006E-3</v>
      </c>
      <c r="D54" t="s">
        <v>37</v>
      </c>
      <c r="E54" s="17" t="s">
        <v>43</v>
      </c>
      <c r="F54" t="s">
        <v>44</v>
      </c>
      <c r="G54" s="104" t="s">
        <v>29</v>
      </c>
      <c r="H54" t="s">
        <v>45</v>
      </c>
      <c r="I54">
        <v>2</v>
      </c>
      <c r="J54">
        <f t="shared" si="2"/>
        <v>-4.767689115485866</v>
      </c>
      <c r="K54">
        <v>8.9582364335844641E-2</v>
      </c>
      <c r="L54" t="s">
        <v>31</v>
      </c>
      <c r="M54" t="s">
        <v>31</v>
      </c>
      <c r="N54" t="s">
        <v>31</v>
      </c>
      <c r="P54" s="152" t="s">
        <v>575</v>
      </c>
      <c r="Q54" s="168">
        <v>8.5</v>
      </c>
      <c r="R54" s="119" t="s">
        <v>221</v>
      </c>
      <c r="S54" s="120">
        <f t="shared" si="3"/>
        <v>8.5000000000000006E-3</v>
      </c>
    </row>
    <row r="55" spans="1:25" ht="15.75">
      <c r="A55" s="171" t="s">
        <v>247</v>
      </c>
      <c r="B55">
        <f>Q56</f>
        <v>0.51</v>
      </c>
      <c r="C55" s="42" t="s">
        <v>248</v>
      </c>
      <c r="D55" t="s">
        <v>37</v>
      </c>
      <c r="E55" s="17" t="s">
        <v>40</v>
      </c>
      <c r="F55" t="s">
        <v>29</v>
      </c>
      <c r="G55" s="104" t="s">
        <v>35</v>
      </c>
      <c r="H55" t="s">
        <v>33</v>
      </c>
      <c r="I55">
        <v>2</v>
      </c>
      <c r="J55">
        <f t="shared" si="2"/>
        <v>-0.67334455326376563</v>
      </c>
      <c r="K55">
        <v>9.6046863561492793E-2</v>
      </c>
      <c r="L55" t="s">
        <v>31</v>
      </c>
      <c r="M55" t="s">
        <v>31</v>
      </c>
      <c r="N55" t="s">
        <v>31</v>
      </c>
      <c r="P55" s="154" t="s">
        <v>221</v>
      </c>
      <c r="Q55" s="155">
        <v>0.51</v>
      </c>
      <c r="R55" s="117"/>
      <c r="S55" s="118"/>
    </row>
    <row r="56" spans="1:25" ht="15.75">
      <c r="A56" s="42" t="s">
        <v>245</v>
      </c>
      <c r="B56">
        <f>Q56</f>
        <v>0.51</v>
      </c>
      <c r="D56" t="s">
        <v>37</v>
      </c>
      <c r="E56" s="17" t="s">
        <v>40</v>
      </c>
      <c r="F56" t="s">
        <v>29</v>
      </c>
      <c r="G56" t="s">
        <v>35</v>
      </c>
      <c r="H56" t="s">
        <v>33</v>
      </c>
      <c r="I56">
        <v>2</v>
      </c>
      <c r="J56">
        <f t="shared" si="2"/>
        <v>-0.67334455326376563</v>
      </c>
      <c r="K56">
        <v>4.9999999999998969E-3</v>
      </c>
      <c r="L56" t="s">
        <v>31</v>
      </c>
      <c r="M56" t="s">
        <v>31</v>
      </c>
      <c r="N56" t="s">
        <v>31</v>
      </c>
      <c r="P56" s="154" t="s">
        <v>221</v>
      </c>
      <c r="Q56" s="155">
        <v>0.51</v>
      </c>
    </row>
    <row r="57" spans="1:25" ht="15.75">
      <c r="A57" s="47" t="s">
        <v>900</v>
      </c>
      <c r="B57">
        <f>Q56</f>
        <v>0.51</v>
      </c>
      <c r="D57" t="s">
        <v>37</v>
      </c>
      <c r="E57" s="17" t="s">
        <v>40</v>
      </c>
      <c r="F57" t="s">
        <v>29</v>
      </c>
      <c r="G57" t="s">
        <v>58</v>
      </c>
      <c r="H57" t="s">
        <v>243</v>
      </c>
      <c r="I57">
        <v>2</v>
      </c>
      <c r="J57">
        <f t="shared" si="2"/>
        <v>-0.67334455326376563</v>
      </c>
      <c r="K57">
        <v>4.9999999999998969E-3</v>
      </c>
      <c r="L57" t="s">
        <v>31</v>
      </c>
      <c r="M57" t="s">
        <v>31</v>
      </c>
      <c r="N57" t="s">
        <v>31</v>
      </c>
      <c r="P57" s="154" t="s">
        <v>221</v>
      </c>
      <c r="Q57" s="155">
        <v>0.51</v>
      </c>
    </row>
  </sheetData>
  <pageMargins left="0.7" right="0.7" top="0.75" bottom="0.75" header="0.3" footer="0.3"/>
  <pageSetup paperSize="9" orientation="portrai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9A4A-03B9-40B9-BC39-8918BBEDE52E}">
  <sheetPr>
    <tabColor theme="8" tint="0.79998168889431442"/>
  </sheetPr>
  <dimension ref="A1:U363"/>
  <sheetViews>
    <sheetView topLeftCell="A6" zoomScale="55" zoomScaleNormal="55" workbookViewId="0">
      <selection activeCell="J29" sqref="J29"/>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99" t="s">
        <v>5</v>
      </c>
      <c r="B2" s="100" t="s">
        <v>1907</v>
      </c>
      <c r="C2" s="39"/>
      <c r="D2" s="41"/>
      <c r="E2" s="41"/>
      <c r="F2" s="41"/>
      <c r="G2" s="41"/>
      <c r="H2" s="41"/>
      <c r="I2" s="41"/>
      <c r="J2" s="41"/>
      <c r="K2" s="41"/>
      <c r="L2" s="41"/>
      <c r="M2" s="41"/>
    </row>
    <row r="3" spans="1:18">
      <c r="A3" s="101" t="s">
        <v>7</v>
      </c>
      <c r="B3" t="s">
        <v>1807</v>
      </c>
      <c r="C3" s="102"/>
    </row>
    <row r="4" spans="1:18">
      <c r="A4" s="101" t="s">
        <v>9</v>
      </c>
      <c r="B4" t="s">
        <v>1930</v>
      </c>
      <c r="C4" s="102"/>
    </row>
    <row r="5" spans="1:18" ht="16.5" customHeight="1">
      <c r="A5" s="101" t="s">
        <v>11</v>
      </c>
      <c r="B5" s="103" t="s">
        <v>789</v>
      </c>
    </row>
    <row r="6" spans="1:18">
      <c r="A6" s="101" t="s">
        <v>13</v>
      </c>
      <c r="B6" t="s">
        <v>14</v>
      </c>
    </row>
    <row r="7" spans="1:18">
      <c r="A7" s="101" t="s">
        <v>15</v>
      </c>
      <c r="B7">
        <f>B12</f>
        <v>1</v>
      </c>
      <c r="O7" t="s">
        <v>1245</v>
      </c>
    </row>
    <row r="8" spans="1:18">
      <c r="A8" s="101" t="s">
        <v>16</v>
      </c>
      <c r="B8" t="s">
        <v>17</v>
      </c>
    </row>
    <row r="9" spans="1:18">
      <c r="A9" s="101" t="s">
        <v>18</v>
      </c>
      <c r="B9" t="s">
        <v>37</v>
      </c>
    </row>
    <row r="10" spans="1:18" ht="15.75">
      <c r="A10" s="105" t="s">
        <v>19</v>
      </c>
    </row>
    <row r="11" spans="1:18" ht="15.75">
      <c r="A11" s="10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75">
      <c r="A12" s="106" t="s">
        <v>1907</v>
      </c>
      <c r="B12">
        <v>1</v>
      </c>
      <c r="C12" t="s">
        <v>37</v>
      </c>
      <c r="D12" s="111" t="s">
        <v>2</v>
      </c>
      <c r="E12" t="s">
        <v>29</v>
      </c>
      <c r="F12" s="104" t="s">
        <v>14</v>
      </c>
      <c r="G12" t="s">
        <v>30</v>
      </c>
      <c r="H12">
        <v>1</v>
      </c>
      <c r="I12">
        <v>2.8722813232690055E-2</v>
      </c>
      <c r="J12" t="s">
        <v>31</v>
      </c>
      <c r="K12" t="s">
        <v>31</v>
      </c>
      <c r="L12" t="s">
        <v>31</v>
      </c>
      <c r="M12" t="s">
        <v>31</v>
      </c>
    </row>
    <row r="13" spans="1:18" ht="15.75">
      <c r="A13" t="s">
        <v>1931</v>
      </c>
      <c r="B13">
        <v>1</v>
      </c>
      <c r="C13" t="s">
        <v>18</v>
      </c>
      <c r="D13" s="111" t="s">
        <v>2</v>
      </c>
      <c r="E13" t="s">
        <v>29</v>
      </c>
      <c r="F13" s="104" t="s">
        <v>14</v>
      </c>
      <c r="G13" t="s">
        <v>33</v>
      </c>
      <c r="H13">
        <v>1</v>
      </c>
      <c r="I13">
        <v>1</v>
      </c>
      <c r="J13" t="s">
        <v>31</v>
      </c>
      <c r="K13" t="s">
        <v>31</v>
      </c>
      <c r="L13" t="s">
        <v>31</v>
      </c>
      <c r="M13" t="s">
        <v>31</v>
      </c>
    </row>
    <row r="14" spans="1:18" ht="15.75">
      <c r="A14" t="s">
        <v>1932</v>
      </c>
      <c r="B14">
        <v>1</v>
      </c>
      <c r="C14" t="s">
        <v>18</v>
      </c>
      <c r="D14" s="111" t="s">
        <v>2</v>
      </c>
      <c r="E14" t="s">
        <v>29</v>
      </c>
      <c r="F14" s="104" t="s">
        <v>14</v>
      </c>
      <c r="G14" t="s">
        <v>33</v>
      </c>
      <c r="H14">
        <v>1</v>
      </c>
      <c r="I14">
        <v>1</v>
      </c>
      <c r="J14" t="s">
        <v>31</v>
      </c>
      <c r="K14" t="s">
        <v>31</v>
      </c>
      <c r="L14" t="s">
        <v>31</v>
      </c>
      <c r="M14" t="s">
        <v>31</v>
      </c>
    </row>
    <row r="15" spans="1:18" ht="15.75">
      <c r="A15" s="47" t="s">
        <v>601</v>
      </c>
      <c r="B15" s="132">
        <f>R15</f>
        <v>3.1E-4</v>
      </c>
      <c r="C15" t="s">
        <v>37</v>
      </c>
      <c r="D15" s="17" t="s">
        <v>40</v>
      </c>
      <c r="E15" t="s">
        <v>29</v>
      </c>
      <c r="F15" s="104" t="s">
        <v>35</v>
      </c>
      <c r="G15" t="s">
        <v>33</v>
      </c>
      <c r="H15">
        <v>2</v>
      </c>
      <c r="I15">
        <f>LN(B15)</f>
        <v>-8.0789382604850815</v>
      </c>
      <c r="J15">
        <v>2.8722813232690055E-2</v>
      </c>
      <c r="K15" t="s">
        <v>31</v>
      </c>
      <c r="L15" t="s">
        <v>31</v>
      </c>
      <c r="M15" t="s">
        <v>31</v>
      </c>
      <c r="O15" s="123" t="s">
        <v>575</v>
      </c>
      <c r="P15" s="175">
        <v>0.31</v>
      </c>
      <c r="Q15" t="s">
        <v>221</v>
      </c>
      <c r="R15" s="132">
        <f>P15*0.001</f>
        <v>3.1E-4</v>
      </c>
    </row>
    <row r="16" spans="1:18" ht="15.75">
      <c r="A16" s="99" t="s">
        <v>5</v>
      </c>
      <c r="B16" s="100" t="s">
        <v>1932</v>
      </c>
      <c r="C16" s="39"/>
      <c r="D16" s="41"/>
      <c r="E16" s="41"/>
      <c r="F16" s="41"/>
      <c r="G16" s="41"/>
      <c r="H16" s="41"/>
      <c r="I16" s="41"/>
      <c r="J16" s="41"/>
      <c r="K16" s="41"/>
      <c r="L16" s="41"/>
      <c r="M16" s="41"/>
    </row>
    <row r="17" spans="1:18">
      <c r="A17" s="101" t="s">
        <v>7</v>
      </c>
      <c r="B17" t="s">
        <v>1807</v>
      </c>
      <c r="C17" s="102"/>
    </row>
    <row r="18" spans="1:18">
      <c r="A18" s="101" t="s">
        <v>9</v>
      </c>
      <c r="B18" t="s">
        <v>1933</v>
      </c>
      <c r="C18" s="102"/>
    </row>
    <row r="19" spans="1:18" ht="16.5" customHeight="1">
      <c r="A19" s="101" t="s">
        <v>11</v>
      </c>
      <c r="B19" s="103" t="s">
        <v>789</v>
      </c>
    </row>
    <row r="20" spans="1:18">
      <c r="A20" s="101" t="s">
        <v>13</v>
      </c>
      <c r="B20" t="s">
        <v>14</v>
      </c>
    </row>
    <row r="21" spans="1:18">
      <c r="A21" s="101" t="s">
        <v>15</v>
      </c>
      <c r="B21">
        <v>1</v>
      </c>
    </row>
    <row r="22" spans="1:18">
      <c r="A22" s="101" t="s">
        <v>16</v>
      </c>
      <c r="B22" t="s">
        <v>17</v>
      </c>
    </row>
    <row r="23" spans="1:18">
      <c r="A23" s="101" t="s">
        <v>18</v>
      </c>
      <c r="B23" t="s">
        <v>18</v>
      </c>
    </row>
    <row r="24" spans="1:18" ht="15.75">
      <c r="A24" s="105" t="s">
        <v>19</v>
      </c>
    </row>
    <row r="25" spans="1:18" ht="15.75">
      <c r="A25" s="105"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75">
      <c r="A26" t="s">
        <v>1932</v>
      </c>
      <c r="B26">
        <v>1</v>
      </c>
      <c r="C26" t="s">
        <v>18</v>
      </c>
      <c r="D26" s="111" t="s">
        <v>2</v>
      </c>
      <c r="E26" t="s">
        <v>29</v>
      </c>
      <c r="F26" s="104" t="s">
        <v>14</v>
      </c>
      <c r="G26" t="s">
        <v>30</v>
      </c>
      <c r="H26">
        <v>1</v>
      </c>
      <c r="I26">
        <v>1</v>
      </c>
      <c r="J26" t="s">
        <v>31</v>
      </c>
      <c r="K26" t="s">
        <v>31</v>
      </c>
      <c r="L26" t="s">
        <v>31</v>
      </c>
      <c r="M26" t="s">
        <v>31</v>
      </c>
    </row>
    <row r="27" spans="1:18" ht="15.75">
      <c r="A27" s="47" t="s">
        <v>610</v>
      </c>
      <c r="B27">
        <f>P27</f>
        <v>0.6</v>
      </c>
      <c r="C27" t="s">
        <v>37</v>
      </c>
      <c r="D27" s="17" t="s">
        <v>40</v>
      </c>
      <c r="E27" t="s">
        <v>29</v>
      </c>
      <c r="F27" t="s">
        <v>58</v>
      </c>
      <c r="G27" t="s">
        <v>33</v>
      </c>
      <c r="H27">
        <v>1</v>
      </c>
      <c r="I27">
        <f>B27</f>
        <v>0.6</v>
      </c>
      <c r="J27" t="s">
        <v>31</v>
      </c>
      <c r="K27" t="s">
        <v>31</v>
      </c>
      <c r="L27" t="s">
        <v>31</v>
      </c>
      <c r="M27" t="s">
        <v>31</v>
      </c>
      <c r="O27" t="s">
        <v>221</v>
      </c>
      <c r="P27">
        <v>0.6</v>
      </c>
    </row>
    <row r="28" spans="1:18">
      <c r="A28" s="47" t="s">
        <v>908</v>
      </c>
      <c r="B28">
        <f>R28</f>
        <v>0.39900000000000002</v>
      </c>
      <c r="C28" t="s">
        <v>37</v>
      </c>
      <c r="D28" t="s">
        <v>40</v>
      </c>
      <c r="E28" t="s">
        <v>29</v>
      </c>
      <c r="F28" t="s">
        <v>58</v>
      </c>
      <c r="G28" t="s">
        <v>33</v>
      </c>
      <c r="H28">
        <v>2</v>
      </c>
      <c r="I28">
        <f>LN(B28)</f>
        <v>-0.91879386209227354</v>
      </c>
      <c r="J28">
        <v>3.7749172176353707E-2</v>
      </c>
      <c r="K28" t="s">
        <v>31</v>
      </c>
      <c r="L28" t="s">
        <v>31</v>
      </c>
      <c r="M28" t="s">
        <v>31</v>
      </c>
      <c r="O28" s="119" t="s">
        <v>575</v>
      </c>
      <c r="P28" s="120">
        <v>399</v>
      </c>
      <c r="Q28" t="s">
        <v>221</v>
      </c>
      <c r="R28">
        <f>P28*0.001</f>
        <v>0.39900000000000002</v>
      </c>
    </row>
    <row r="29" spans="1:18">
      <c r="A29" s="47" t="s">
        <v>909</v>
      </c>
      <c r="B29">
        <f>R29</f>
        <v>2.3800000000000002E-2</v>
      </c>
      <c r="C29" t="s">
        <v>37</v>
      </c>
      <c r="D29" t="s">
        <v>40</v>
      </c>
      <c r="E29" t="s">
        <v>29</v>
      </c>
      <c r="F29" t="s">
        <v>58</v>
      </c>
      <c r="G29" t="s">
        <v>33</v>
      </c>
      <c r="H29">
        <v>2</v>
      </c>
      <c r="I29">
        <f>LN(B29)</f>
        <v>-3.7380696983047081</v>
      </c>
      <c r="J29">
        <v>3.7749172176353707E-2</v>
      </c>
      <c r="K29" t="s">
        <v>31</v>
      </c>
      <c r="L29" t="s">
        <v>31</v>
      </c>
      <c r="M29" t="s">
        <v>31</v>
      </c>
      <c r="O29" s="119" t="s">
        <v>575</v>
      </c>
      <c r="P29" s="120">
        <v>23.8</v>
      </c>
      <c r="Q29" t="s">
        <v>221</v>
      </c>
      <c r="R29">
        <f t="shared" ref="R29:R30" si="0">P29*0.001</f>
        <v>2.3800000000000002E-2</v>
      </c>
    </row>
    <row r="30" spans="1:18">
      <c r="A30" s="47" t="s">
        <v>910</v>
      </c>
      <c r="B30">
        <f>R30</f>
        <v>0.18</v>
      </c>
      <c r="C30" t="s">
        <v>37</v>
      </c>
      <c r="D30" t="s">
        <v>40</v>
      </c>
      <c r="E30" t="s">
        <v>29</v>
      </c>
      <c r="F30" t="s">
        <v>58</v>
      </c>
      <c r="G30" t="s">
        <v>33</v>
      </c>
      <c r="H30">
        <v>2</v>
      </c>
      <c r="I30">
        <f>LN(B30)</f>
        <v>-1.7147984280919266</v>
      </c>
      <c r="J30">
        <v>3.7749172176353707E-2</v>
      </c>
      <c r="K30" t="s">
        <v>31</v>
      </c>
      <c r="L30" t="s">
        <v>31</v>
      </c>
      <c r="M30" t="s">
        <v>31</v>
      </c>
      <c r="O30" s="119" t="s">
        <v>575</v>
      </c>
      <c r="P30" s="120">
        <v>180</v>
      </c>
      <c r="Q30" t="s">
        <v>221</v>
      </c>
      <c r="R30">
        <f t="shared" si="0"/>
        <v>0.18</v>
      </c>
    </row>
    <row r="31" spans="1:18" ht="15.75">
      <c r="A31" s="99" t="s">
        <v>5</v>
      </c>
      <c r="B31" s="100" t="s">
        <v>1931</v>
      </c>
      <c r="C31" s="39"/>
      <c r="D31" s="41"/>
      <c r="E31" s="41"/>
      <c r="F31" s="41"/>
      <c r="G31" s="41"/>
      <c r="H31" s="41"/>
      <c r="I31" s="41"/>
      <c r="J31" s="41"/>
      <c r="K31" s="41"/>
      <c r="L31" s="41"/>
      <c r="M31" s="41"/>
    </row>
    <row r="32" spans="1:18">
      <c r="A32" s="101" t="s">
        <v>7</v>
      </c>
      <c r="B32" t="s">
        <v>1807</v>
      </c>
      <c r="C32" s="102"/>
    </row>
    <row r="33" spans="1:18">
      <c r="A33" s="101" t="s">
        <v>9</v>
      </c>
      <c r="B33" t="s">
        <v>1934</v>
      </c>
      <c r="C33" s="102"/>
    </row>
    <row r="34" spans="1:18" ht="18" customHeight="1">
      <c r="A34" s="101" t="s">
        <v>11</v>
      </c>
      <c r="B34" s="103" t="s">
        <v>789</v>
      </c>
    </row>
    <row r="35" spans="1:18">
      <c r="A35" s="101" t="s">
        <v>13</v>
      </c>
      <c r="B35" t="s">
        <v>14</v>
      </c>
    </row>
    <row r="36" spans="1:18">
      <c r="A36" s="101" t="s">
        <v>15</v>
      </c>
      <c r="B36">
        <v>1</v>
      </c>
    </row>
    <row r="37" spans="1:18">
      <c r="A37" s="101" t="s">
        <v>16</v>
      </c>
      <c r="B37" t="s">
        <v>17</v>
      </c>
    </row>
    <row r="38" spans="1:18">
      <c r="A38" s="101" t="s">
        <v>18</v>
      </c>
      <c r="B38" t="s">
        <v>18</v>
      </c>
    </row>
    <row r="39" spans="1:18" ht="15.75">
      <c r="A39" s="105" t="s">
        <v>19</v>
      </c>
    </row>
    <row r="40" spans="1:18" ht="15.75">
      <c r="A40" s="105"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75">
      <c r="A41" t="s">
        <v>1931</v>
      </c>
      <c r="B41">
        <v>1</v>
      </c>
      <c r="C41" t="s">
        <v>18</v>
      </c>
      <c r="D41" s="111" t="s">
        <v>2</v>
      </c>
      <c r="E41" t="s">
        <v>29</v>
      </c>
      <c r="F41" s="104" t="s">
        <v>14</v>
      </c>
      <c r="G41" t="s">
        <v>30</v>
      </c>
      <c r="H41">
        <v>1</v>
      </c>
      <c r="I41">
        <v>1</v>
      </c>
      <c r="J41" t="s">
        <v>31</v>
      </c>
      <c r="K41" t="s">
        <v>31</v>
      </c>
      <c r="L41" t="s">
        <v>31</v>
      </c>
      <c r="M41" t="s">
        <v>31</v>
      </c>
    </row>
    <row r="42" spans="1:18" ht="15.75">
      <c r="A42" s="47" t="s">
        <v>1935</v>
      </c>
      <c r="B42">
        <f>B55</f>
        <v>0.214</v>
      </c>
      <c r="C42" t="s">
        <v>37</v>
      </c>
      <c r="D42" s="111" t="s">
        <v>2</v>
      </c>
      <c r="E42" t="s">
        <v>29</v>
      </c>
      <c r="F42" s="104" t="s">
        <v>14</v>
      </c>
      <c r="G42" t="s">
        <v>33</v>
      </c>
      <c r="H42">
        <v>1</v>
      </c>
      <c r="I42">
        <f>B42</f>
        <v>0.214</v>
      </c>
      <c r="J42" t="s">
        <v>31</v>
      </c>
      <c r="K42" t="s">
        <v>31</v>
      </c>
      <c r="L42" t="s">
        <v>31</v>
      </c>
      <c r="M42" t="s">
        <v>31</v>
      </c>
      <c r="O42" s="42"/>
      <c r="P42" s="112"/>
    </row>
    <row r="43" spans="1:18" ht="15.75">
      <c r="A43" s="47" t="s">
        <v>1936</v>
      </c>
      <c r="B43">
        <v>1</v>
      </c>
      <c r="C43" t="s">
        <v>18</v>
      </c>
      <c r="D43" s="111" t="s">
        <v>2</v>
      </c>
      <c r="E43" t="s">
        <v>29</v>
      </c>
      <c r="F43" s="104" t="s">
        <v>14</v>
      </c>
      <c r="G43" t="s">
        <v>33</v>
      </c>
      <c r="H43">
        <v>1</v>
      </c>
      <c r="I43">
        <v>1</v>
      </c>
      <c r="J43" t="s">
        <v>31</v>
      </c>
      <c r="K43" t="s">
        <v>31</v>
      </c>
      <c r="L43" t="s">
        <v>31</v>
      </c>
      <c r="M43" t="s">
        <v>31</v>
      </c>
    </row>
    <row r="44" spans="1:18" ht="15.75">
      <c r="A44" s="106" t="s">
        <v>38</v>
      </c>
      <c r="B44" s="23">
        <f>R44</f>
        <v>0.03</v>
      </c>
      <c r="C44" t="s">
        <v>39</v>
      </c>
      <c r="D44" s="17" t="s">
        <v>40</v>
      </c>
      <c r="E44" t="s">
        <v>29</v>
      </c>
      <c r="F44" s="104" t="s">
        <v>35</v>
      </c>
      <c r="G44" t="s">
        <v>33</v>
      </c>
      <c r="H44">
        <v>2</v>
      </c>
      <c r="I44">
        <f t="shared" ref="I44" si="1">LN(B44)</f>
        <v>-3.5065578973199818</v>
      </c>
      <c r="J44">
        <v>7.2284161474004766E-2</v>
      </c>
      <c r="K44" t="s">
        <v>31</v>
      </c>
      <c r="L44" t="s">
        <v>31</v>
      </c>
      <c r="M44" t="s">
        <v>31</v>
      </c>
      <c r="O44" s="123" t="s">
        <v>216</v>
      </c>
      <c r="P44" s="120">
        <v>0.03</v>
      </c>
      <c r="Q44" t="s">
        <v>216</v>
      </c>
      <c r="R44" s="23">
        <f>P44</f>
        <v>0.03</v>
      </c>
    </row>
    <row r="45" spans="1:18" ht="15.75">
      <c r="A45" s="99" t="s">
        <v>5</v>
      </c>
      <c r="B45" s="100" t="s">
        <v>1935</v>
      </c>
      <c r="C45" s="39"/>
      <c r="D45" s="41"/>
      <c r="E45" s="41"/>
      <c r="F45" s="41"/>
      <c r="G45" s="41"/>
      <c r="H45" s="41"/>
      <c r="I45" s="41"/>
      <c r="J45" s="41"/>
      <c r="K45" s="41"/>
      <c r="L45" s="41"/>
      <c r="M45" s="41"/>
    </row>
    <row r="46" spans="1:18">
      <c r="A46" s="101" t="s">
        <v>7</v>
      </c>
      <c r="B46" t="s">
        <v>1807</v>
      </c>
      <c r="C46" s="102"/>
    </row>
    <row r="47" spans="1:18">
      <c r="A47" s="101" t="s">
        <v>9</v>
      </c>
      <c r="B47" t="s">
        <v>1937</v>
      </c>
      <c r="C47" s="102"/>
    </row>
    <row r="48" spans="1:18" ht="11.25" customHeight="1">
      <c r="A48" s="101" t="s">
        <v>11</v>
      </c>
      <c r="B48" s="103" t="s">
        <v>789</v>
      </c>
    </row>
    <row r="49" spans="1:18">
      <c r="A49" s="101" t="s">
        <v>13</v>
      </c>
      <c r="B49" t="s">
        <v>14</v>
      </c>
    </row>
    <row r="50" spans="1:18">
      <c r="A50" s="101" t="s">
        <v>15</v>
      </c>
      <c r="B50">
        <f>B55</f>
        <v>0.214</v>
      </c>
    </row>
    <row r="51" spans="1:18">
      <c r="A51" s="101" t="s">
        <v>16</v>
      </c>
      <c r="B51" t="s">
        <v>17</v>
      </c>
    </row>
    <row r="52" spans="1:18">
      <c r="A52" s="101" t="s">
        <v>18</v>
      </c>
      <c r="B52" t="s">
        <v>37</v>
      </c>
    </row>
    <row r="53" spans="1:18" ht="15.75">
      <c r="A53" s="105" t="s">
        <v>19</v>
      </c>
    </row>
    <row r="54" spans="1:18" ht="15.75">
      <c r="A54" s="105"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75">
      <c r="A55" s="47" t="s">
        <v>1935</v>
      </c>
      <c r="B55">
        <f>P55</f>
        <v>0.214</v>
      </c>
      <c r="C55" t="s">
        <v>37</v>
      </c>
      <c r="D55" s="111" t="s">
        <v>2</v>
      </c>
      <c r="E55" t="s">
        <v>29</v>
      </c>
      <c r="F55" s="104" t="s">
        <v>14</v>
      </c>
      <c r="G55" t="s">
        <v>30</v>
      </c>
      <c r="H55">
        <v>1</v>
      </c>
      <c r="I55">
        <f>B55</f>
        <v>0.214</v>
      </c>
      <c r="J55" t="s">
        <v>31</v>
      </c>
      <c r="K55" t="s">
        <v>31</v>
      </c>
      <c r="L55" t="s">
        <v>31</v>
      </c>
      <c r="M55" t="s">
        <v>31</v>
      </c>
      <c r="O55" s="176" t="s">
        <v>221</v>
      </c>
      <c r="P55" s="120">
        <v>0.214</v>
      </c>
      <c r="Q55" t="s">
        <v>221</v>
      </c>
      <c r="R55">
        <f>P55</f>
        <v>0.214</v>
      </c>
    </row>
    <row r="56" spans="1:18" ht="15.75">
      <c r="A56" s="47" t="s">
        <v>601</v>
      </c>
      <c r="B56" s="132">
        <f>R56</f>
        <v>0.214</v>
      </c>
      <c r="C56" t="s">
        <v>37</v>
      </c>
      <c r="D56" s="17" t="s">
        <v>40</v>
      </c>
      <c r="E56" t="s">
        <v>29</v>
      </c>
      <c r="F56" s="104" t="s">
        <v>35</v>
      </c>
      <c r="G56" t="s">
        <v>33</v>
      </c>
      <c r="H56">
        <v>2</v>
      </c>
      <c r="I56">
        <f>LN(B56)</f>
        <v>-1.5417792639602856</v>
      </c>
      <c r="J56">
        <v>2.8722813232690055E-2</v>
      </c>
      <c r="K56" t="s">
        <v>31</v>
      </c>
      <c r="L56" t="s">
        <v>31</v>
      </c>
      <c r="M56" t="s">
        <v>31</v>
      </c>
      <c r="O56" s="177" t="s">
        <v>221</v>
      </c>
      <c r="P56" s="120">
        <v>0.214</v>
      </c>
      <c r="Q56" t="s">
        <v>221</v>
      </c>
      <c r="R56" s="132">
        <f>P56</f>
        <v>0.214</v>
      </c>
    </row>
    <row r="57" spans="1:18" ht="15.75">
      <c r="A57" s="106" t="s">
        <v>38</v>
      </c>
      <c r="B57" s="113">
        <f>R57</f>
        <v>6.4000000000000001E-2</v>
      </c>
      <c r="C57" t="s">
        <v>39</v>
      </c>
      <c r="D57" s="17" t="s">
        <v>40</v>
      </c>
      <c r="E57" t="s">
        <v>29</v>
      </c>
      <c r="F57" s="104" t="s">
        <v>35</v>
      </c>
      <c r="G57" t="s">
        <v>33</v>
      </c>
      <c r="H57">
        <v>2</v>
      </c>
      <c r="I57">
        <f t="shared" ref="I57" si="2">LN(B57)</f>
        <v>-2.7488721956224653</v>
      </c>
      <c r="J57">
        <v>7.2284161474004766E-2</v>
      </c>
      <c r="K57" t="s">
        <v>31</v>
      </c>
      <c r="L57" t="s">
        <v>31</v>
      </c>
      <c r="M57" t="s">
        <v>31</v>
      </c>
      <c r="O57" s="123" t="s">
        <v>216</v>
      </c>
      <c r="P57" s="120">
        <v>6.4000000000000001E-2</v>
      </c>
      <c r="Q57" t="s">
        <v>216</v>
      </c>
      <c r="R57" s="113">
        <f>P57</f>
        <v>6.4000000000000001E-2</v>
      </c>
    </row>
    <row r="58" spans="1:18" ht="15.75">
      <c r="A58" s="99" t="s">
        <v>5</v>
      </c>
      <c r="B58" s="148" t="s">
        <v>1936</v>
      </c>
      <c r="C58" s="39"/>
      <c r="D58" s="41"/>
      <c r="E58" s="41"/>
      <c r="F58" s="41"/>
      <c r="G58" s="41"/>
      <c r="H58" s="41"/>
      <c r="I58" s="41"/>
      <c r="J58" s="41"/>
      <c r="K58" s="41"/>
      <c r="L58" s="41"/>
      <c r="M58" s="41"/>
    </row>
    <row r="59" spans="1:18">
      <c r="A59" s="101" t="s">
        <v>7</v>
      </c>
      <c r="B59" t="s">
        <v>1807</v>
      </c>
      <c r="C59" s="102"/>
    </row>
    <row r="60" spans="1:18">
      <c r="A60" s="114" t="s">
        <v>9</v>
      </c>
      <c r="B60" t="s">
        <v>1938</v>
      </c>
      <c r="C60" s="102"/>
    </row>
    <row r="61" spans="1:18" ht="27.75" customHeight="1">
      <c r="A61" s="101" t="s">
        <v>11</v>
      </c>
      <c r="B61" s="103" t="s">
        <v>789</v>
      </c>
    </row>
    <row r="62" spans="1:18">
      <c r="A62" s="101" t="s">
        <v>13</v>
      </c>
      <c r="B62" t="s">
        <v>14</v>
      </c>
    </row>
    <row r="63" spans="1:18">
      <c r="A63" s="101" t="s">
        <v>15</v>
      </c>
      <c r="B63">
        <v>1</v>
      </c>
    </row>
    <row r="64" spans="1:18">
      <c r="A64" s="101" t="s">
        <v>16</v>
      </c>
      <c r="B64" t="s">
        <v>17</v>
      </c>
    </row>
    <row r="65" spans="1:18">
      <c r="A65" s="101" t="s">
        <v>18</v>
      </c>
      <c r="B65" t="s">
        <v>18</v>
      </c>
    </row>
    <row r="66" spans="1:18" ht="15.75">
      <c r="A66" s="105" t="s">
        <v>19</v>
      </c>
    </row>
    <row r="67" spans="1:18" ht="15.75">
      <c r="A67" s="105"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75">
      <c r="A68" s="47" t="s">
        <v>1936</v>
      </c>
      <c r="B68">
        <v>1</v>
      </c>
      <c r="C68" t="s">
        <v>18</v>
      </c>
      <c r="D68" s="111" t="s">
        <v>2</v>
      </c>
      <c r="E68" t="s">
        <v>29</v>
      </c>
      <c r="F68" s="104" t="s">
        <v>14</v>
      </c>
      <c r="G68" t="s">
        <v>30</v>
      </c>
      <c r="H68">
        <v>1</v>
      </c>
      <c r="I68">
        <v>1</v>
      </c>
      <c r="J68" t="s">
        <v>31</v>
      </c>
      <c r="K68" t="s">
        <v>31</v>
      </c>
      <c r="L68" t="s">
        <v>31</v>
      </c>
      <c r="M68" t="s">
        <v>31</v>
      </c>
    </row>
    <row r="69" spans="1:18" ht="15.75">
      <c r="A69" s="47" t="s">
        <v>1939</v>
      </c>
      <c r="B69" s="132">
        <f>B77</f>
        <v>0.11</v>
      </c>
      <c r="C69" t="s">
        <v>37</v>
      </c>
      <c r="D69" s="111" t="s">
        <v>2</v>
      </c>
      <c r="E69" t="s">
        <v>29</v>
      </c>
      <c r="F69" s="104" t="s">
        <v>14</v>
      </c>
      <c r="G69" t="s">
        <v>33</v>
      </c>
      <c r="H69">
        <v>1</v>
      </c>
      <c r="I69" s="132">
        <f>B69</f>
        <v>0.11</v>
      </c>
      <c r="J69" t="s">
        <v>31</v>
      </c>
      <c r="K69" t="s">
        <v>31</v>
      </c>
      <c r="L69" t="s">
        <v>31</v>
      </c>
      <c r="M69" t="s">
        <v>31</v>
      </c>
      <c r="O69" s="123"/>
      <c r="P69" s="134"/>
      <c r="Q69" t="s">
        <v>221</v>
      </c>
      <c r="R69" s="132">
        <v>0.01</v>
      </c>
    </row>
    <row r="70" spans="1:18" ht="15.75">
      <c r="A70" s="47" t="s">
        <v>1940</v>
      </c>
      <c r="B70" s="113">
        <v>1</v>
      </c>
      <c r="C70" t="s">
        <v>18</v>
      </c>
      <c r="D70" s="111" t="s">
        <v>2</v>
      </c>
      <c r="E70" t="s">
        <v>29</v>
      </c>
      <c r="F70" s="104" t="s">
        <v>14</v>
      </c>
      <c r="G70" t="s">
        <v>33</v>
      </c>
      <c r="H70">
        <v>1</v>
      </c>
      <c r="I70">
        <v>1</v>
      </c>
      <c r="J70" t="s">
        <v>31</v>
      </c>
      <c r="K70" t="s">
        <v>31</v>
      </c>
      <c r="L70" t="s">
        <v>31</v>
      </c>
      <c r="M70" t="s">
        <v>31</v>
      </c>
      <c r="O70" s="123"/>
      <c r="P70" s="178"/>
      <c r="R70" s="113"/>
    </row>
    <row r="71" spans="1:18" ht="15.75">
      <c r="A71" s="106" t="s">
        <v>38</v>
      </c>
      <c r="B71" s="113">
        <f>R71</f>
        <v>0.73</v>
      </c>
      <c r="C71" t="s">
        <v>39</v>
      </c>
      <c r="D71" s="17" t="s">
        <v>40</v>
      </c>
      <c r="E71" t="s">
        <v>29</v>
      </c>
      <c r="F71" s="104" t="s">
        <v>35</v>
      </c>
      <c r="G71" t="s">
        <v>33</v>
      </c>
      <c r="H71">
        <v>2</v>
      </c>
      <c r="I71">
        <f t="shared" ref="I71" si="3">LN(B71)</f>
        <v>-0.31471074483970024</v>
      </c>
      <c r="J71">
        <v>7.2284161474004766E-2</v>
      </c>
      <c r="K71" t="s">
        <v>31</v>
      </c>
      <c r="L71" t="s">
        <v>31</v>
      </c>
      <c r="M71" t="s">
        <v>31</v>
      </c>
      <c r="O71" s="123" t="s">
        <v>216</v>
      </c>
      <c r="P71" s="120">
        <v>0.73</v>
      </c>
      <c r="Q71" t="s">
        <v>216</v>
      </c>
      <c r="R71" s="113">
        <f>P71</f>
        <v>0.73</v>
      </c>
    </row>
    <row r="72" spans="1:18" ht="15.75">
      <c r="A72" s="99" t="s">
        <v>5</v>
      </c>
      <c r="B72" s="148" t="s">
        <v>1939</v>
      </c>
      <c r="C72" s="39"/>
      <c r="D72" s="41"/>
      <c r="E72" s="41"/>
      <c r="F72" s="41"/>
      <c r="G72" s="41"/>
      <c r="H72" s="41"/>
      <c r="I72" s="41"/>
      <c r="J72" s="41"/>
      <c r="K72" s="41"/>
      <c r="L72" s="41"/>
      <c r="M72" s="41"/>
    </row>
    <row r="73" spans="1:18">
      <c r="A73" s="101" t="s">
        <v>7</v>
      </c>
      <c r="B73" t="s">
        <v>1807</v>
      </c>
      <c r="C73" s="102"/>
    </row>
    <row r="74" spans="1:18">
      <c r="A74" s="114" t="s">
        <v>9</v>
      </c>
      <c r="B74" t="s">
        <v>1941</v>
      </c>
      <c r="C74" s="102"/>
    </row>
    <row r="75" spans="1:18" ht="15" customHeight="1">
      <c r="A75" s="101" t="s">
        <v>11</v>
      </c>
      <c r="B75" s="103" t="s">
        <v>789</v>
      </c>
    </row>
    <row r="76" spans="1:18">
      <c r="A76" s="101" t="s">
        <v>13</v>
      </c>
      <c r="B76" t="s">
        <v>14</v>
      </c>
    </row>
    <row r="77" spans="1:18">
      <c r="A77" s="101" t="s">
        <v>15</v>
      </c>
      <c r="B77" s="23">
        <f>B82</f>
        <v>0.11</v>
      </c>
    </row>
    <row r="78" spans="1:18">
      <c r="A78" s="101" t="s">
        <v>16</v>
      </c>
      <c r="B78" t="s">
        <v>17</v>
      </c>
    </row>
    <row r="79" spans="1:18">
      <c r="A79" s="101" t="s">
        <v>18</v>
      </c>
      <c r="B79" t="s">
        <v>37</v>
      </c>
    </row>
    <row r="80" spans="1:18" ht="15.75">
      <c r="A80" s="105" t="s">
        <v>19</v>
      </c>
    </row>
    <row r="81" spans="1:18" ht="15.75">
      <c r="A81" s="105"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75">
      <c r="A82" s="47" t="s">
        <v>1939</v>
      </c>
      <c r="B82" s="23">
        <v>0.11</v>
      </c>
      <c r="C82" t="s">
        <v>37</v>
      </c>
      <c r="D82" s="111" t="s">
        <v>2</v>
      </c>
      <c r="E82" t="s">
        <v>29</v>
      </c>
      <c r="F82" s="104" t="s">
        <v>14</v>
      </c>
      <c r="G82" t="s">
        <v>30</v>
      </c>
      <c r="H82">
        <v>1</v>
      </c>
      <c r="I82" s="23">
        <f>B82</f>
        <v>0.11</v>
      </c>
      <c r="J82" t="s">
        <v>31</v>
      </c>
      <c r="K82" t="s">
        <v>31</v>
      </c>
      <c r="L82" t="s">
        <v>31</v>
      </c>
      <c r="M82" t="s">
        <v>31</v>
      </c>
      <c r="O82" s="123"/>
      <c r="P82" s="134"/>
      <c r="Q82" t="s">
        <v>221</v>
      </c>
      <c r="R82" s="132">
        <v>0.01</v>
      </c>
    </row>
    <row r="83" spans="1:18" ht="15.75">
      <c r="A83" s="47" t="s">
        <v>655</v>
      </c>
      <c r="B83" s="23">
        <v>0.11</v>
      </c>
      <c r="C83" t="s">
        <v>37</v>
      </c>
      <c r="D83" s="17" t="s">
        <v>40</v>
      </c>
      <c r="E83" t="s">
        <v>29</v>
      </c>
      <c r="F83" s="104" t="s">
        <v>58</v>
      </c>
      <c r="G83" t="s">
        <v>33</v>
      </c>
      <c r="H83">
        <v>1</v>
      </c>
      <c r="I83" s="23">
        <f t="shared" ref="I83:I84" si="4">B83</f>
        <v>0.11</v>
      </c>
      <c r="J83" t="s">
        <v>31</v>
      </c>
      <c r="K83" t="s">
        <v>31</v>
      </c>
      <c r="L83" t="s">
        <v>31</v>
      </c>
      <c r="M83" t="s">
        <v>31</v>
      </c>
      <c r="O83" s="123"/>
      <c r="P83" s="178"/>
      <c r="R83" s="113"/>
    </row>
    <row r="84" spans="1:18">
      <c r="A84" s="47" t="s">
        <v>708</v>
      </c>
      <c r="B84" s="23">
        <v>0.11</v>
      </c>
      <c r="C84" t="s">
        <v>37</v>
      </c>
      <c r="D84" t="s">
        <v>40</v>
      </c>
      <c r="E84" t="s">
        <v>29</v>
      </c>
      <c r="F84" t="s">
        <v>58</v>
      </c>
      <c r="G84" t="s">
        <v>33</v>
      </c>
      <c r="H84">
        <v>1</v>
      </c>
      <c r="I84" s="23">
        <f t="shared" si="4"/>
        <v>0.11</v>
      </c>
      <c r="J84" t="s">
        <v>31</v>
      </c>
      <c r="K84" t="s">
        <v>31</v>
      </c>
      <c r="L84" t="s">
        <v>31</v>
      </c>
      <c r="M84" t="s">
        <v>31</v>
      </c>
    </row>
    <row r="85" spans="1:18" s="41" customFormat="1" ht="15.75">
      <c r="A85" s="99" t="s">
        <v>5</v>
      </c>
      <c r="B85" s="148" t="s">
        <v>1940</v>
      </c>
      <c r="C85" s="39"/>
    </row>
    <row r="86" spans="1:18">
      <c r="A86" s="101" t="s">
        <v>7</v>
      </c>
      <c r="B86" t="s">
        <v>1807</v>
      </c>
      <c r="C86" s="102"/>
    </row>
    <row r="87" spans="1:18">
      <c r="A87" s="114" t="s">
        <v>9</v>
      </c>
      <c r="B87" t="s">
        <v>1942</v>
      </c>
      <c r="C87" s="102"/>
    </row>
    <row r="88" spans="1:18" ht="15.75" customHeight="1">
      <c r="A88" s="101" t="s">
        <v>11</v>
      </c>
      <c r="B88" s="103" t="s">
        <v>789</v>
      </c>
    </row>
    <row r="89" spans="1:18">
      <c r="A89" s="101" t="s">
        <v>13</v>
      </c>
      <c r="B89" t="s">
        <v>14</v>
      </c>
    </row>
    <row r="90" spans="1:18">
      <c r="A90" s="101" t="s">
        <v>15</v>
      </c>
      <c r="B90">
        <v>1</v>
      </c>
    </row>
    <row r="91" spans="1:18">
      <c r="A91" s="101" t="s">
        <v>16</v>
      </c>
      <c r="B91" t="s">
        <v>17</v>
      </c>
    </row>
    <row r="92" spans="1:18">
      <c r="A92" s="101" t="s">
        <v>18</v>
      </c>
      <c r="B92" t="s">
        <v>18</v>
      </c>
    </row>
    <row r="93" spans="1:18" ht="15.75">
      <c r="A93" s="105" t="s">
        <v>19</v>
      </c>
    </row>
    <row r="94" spans="1:18" ht="15.75">
      <c r="A94" s="105"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75">
      <c r="A95" s="47" t="s">
        <v>1940</v>
      </c>
      <c r="B95" s="113">
        <v>1</v>
      </c>
      <c r="C95" t="s">
        <v>18</v>
      </c>
      <c r="D95" s="111" t="s">
        <v>2</v>
      </c>
      <c r="E95" t="s">
        <v>29</v>
      </c>
      <c r="F95" s="104" t="s">
        <v>14</v>
      </c>
      <c r="G95" t="s">
        <v>30</v>
      </c>
      <c r="H95">
        <v>1</v>
      </c>
      <c r="I95">
        <v>1</v>
      </c>
      <c r="J95" t="s">
        <v>31</v>
      </c>
      <c r="K95" t="s">
        <v>31</v>
      </c>
      <c r="L95" t="s">
        <v>31</v>
      </c>
      <c r="M95" t="s">
        <v>31</v>
      </c>
      <c r="O95" s="123"/>
      <c r="P95" s="178"/>
      <c r="R95" s="113"/>
    </row>
    <row r="96" spans="1:18" ht="15.75">
      <c r="A96" s="47" t="s">
        <v>1943</v>
      </c>
      <c r="B96">
        <v>1</v>
      </c>
      <c r="C96" t="s">
        <v>18</v>
      </c>
      <c r="D96" s="111" t="s">
        <v>2</v>
      </c>
      <c r="E96" t="s">
        <v>29</v>
      </c>
      <c r="F96" s="104" t="s">
        <v>14</v>
      </c>
      <c r="G96" t="s">
        <v>33</v>
      </c>
      <c r="H96">
        <v>1</v>
      </c>
      <c r="I96">
        <v>1</v>
      </c>
      <c r="J96" t="s">
        <v>31</v>
      </c>
      <c r="K96" t="s">
        <v>31</v>
      </c>
      <c r="L96" t="s">
        <v>31</v>
      </c>
      <c r="M96" t="s">
        <v>31</v>
      </c>
      <c r="O96" s="123"/>
      <c r="P96" s="178"/>
    </row>
    <row r="97" spans="1:18" ht="15.75">
      <c r="A97" s="106" t="s">
        <v>38</v>
      </c>
      <c r="B97" s="113">
        <f>R97</f>
        <v>0.05</v>
      </c>
      <c r="C97" t="s">
        <v>39</v>
      </c>
      <c r="D97" s="17" t="s">
        <v>40</v>
      </c>
      <c r="E97" t="s">
        <v>29</v>
      </c>
      <c r="F97" s="104" t="s">
        <v>35</v>
      </c>
      <c r="G97" t="s">
        <v>33</v>
      </c>
      <c r="H97">
        <v>2</v>
      </c>
      <c r="I97">
        <f t="shared" ref="I97" si="5">LN(B97)</f>
        <v>-2.9957322735539909</v>
      </c>
      <c r="J97">
        <v>7.2284161474004766E-2</v>
      </c>
      <c r="K97" t="s">
        <v>31</v>
      </c>
      <c r="L97" t="s">
        <v>31</v>
      </c>
      <c r="M97" t="s">
        <v>31</v>
      </c>
      <c r="O97" s="123" t="s">
        <v>216</v>
      </c>
      <c r="P97" s="120">
        <v>0.05</v>
      </c>
      <c r="Q97" t="s">
        <v>216</v>
      </c>
      <c r="R97" s="113">
        <f>P97</f>
        <v>0.05</v>
      </c>
    </row>
    <row r="98" spans="1:18" s="41" customFormat="1" ht="15.75">
      <c r="A98" s="99" t="s">
        <v>5</v>
      </c>
      <c r="B98" s="148" t="s">
        <v>1943</v>
      </c>
      <c r="C98" s="39"/>
    </row>
    <row r="99" spans="1:18">
      <c r="A99" s="101" t="s">
        <v>7</v>
      </c>
      <c r="B99" t="s">
        <v>1807</v>
      </c>
      <c r="C99" s="102"/>
    </row>
    <row r="100" spans="1:18">
      <c r="A100" s="114" t="s">
        <v>9</v>
      </c>
      <c r="B100" t="s">
        <v>1944</v>
      </c>
      <c r="C100" s="102"/>
    </row>
    <row r="101" spans="1:18" ht="15.75" customHeight="1">
      <c r="A101" s="101" t="s">
        <v>11</v>
      </c>
      <c r="B101" s="103" t="s">
        <v>789</v>
      </c>
    </row>
    <row r="102" spans="1:18">
      <c r="A102" s="101" t="s">
        <v>13</v>
      </c>
      <c r="B102" t="s">
        <v>14</v>
      </c>
    </row>
    <row r="103" spans="1:18">
      <c r="A103" s="101" t="s">
        <v>15</v>
      </c>
      <c r="B103">
        <v>1</v>
      </c>
    </row>
    <row r="104" spans="1:18">
      <c r="A104" s="101" t="s">
        <v>16</v>
      </c>
      <c r="B104" t="s">
        <v>17</v>
      </c>
    </row>
    <row r="105" spans="1:18">
      <c r="A105" s="101" t="s">
        <v>18</v>
      </c>
      <c r="B105" t="s">
        <v>18</v>
      </c>
    </row>
    <row r="106" spans="1:18" ht="15.75">
      <c r="A106" s="105" t="s">
        <v>19</v>
      </c>
    </row>
    <row r="107" spans="1:18" ht="15.75">
      <c r="A107" s="105"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c r="Q107">
        <f>B.Reused!O36</f>
        <v>5.7999999999999989</v>
      </c>
      <c r="R107" t="s">
        <v>886</v>
      </c>
    </row>
    <row r="108" spans="1:18" ht="15.75">
      <c r="A108" s="47" t="s">
        <v>1943</v>
      </c>
      <c r="B108">
        <v>1</v>
      </c>
      <c r="C108" t="s">
        <v>18</v>
      </c>
      <c r="D108" s="17" t="s">
        <v>2</v>
      </c>
      <c r="E108" t="s">
        <v>29</v>
      </c>
      <c r="F108" s="104" t="s">
        <v>14</v>
      </c>
      <c r="G108" t="s">
        <v>30</v>
      </c>
      <c r="H108">
        <v>1</v>
      </c>
      <c r="I108">
        <v>1</v>
      </c>
      <c r="J108" t="s">
        <v>31</v>
      </c>
      <c r="K108" t="s">
        <v>31</v>
      </c>
      <c r="L108" t="s">
        <v>31</v>
      </c>
      <c r="M108" t="s">
        <v>31</v>
      </c>
      <c r="P108" s="179"/>
    </row>
    <row r="109" spans="1:18" ht="15.75">
      <c r="A109" s="106" t="s">
        <v>1945</v>
      </c>
      <c r="B109" s="180">
        <f>B133</f>
        <v>6.9000000000000006E-2</v>
      </c>
      <c r="C109" t="s">
        <v>113</v>
      </c>
      <c r="D109" s="17" t="s">
        <v>2</v>
      </c>
      <c r="E109" t="s">
        <v>29</v>
      </c>
      <c r="F109" s="104" t="s">
        <v>14</v>
      </c>
      <c r="G109" t="s">
        <v>33</v>
      </c>
      <c r="H109">
        <v>1</v>
      </c>
      <c r="I109" s="180">
        <f>B109</f>
        <v>6.9000000000000006E-2</v>
      </c>
      <c r="J109" t="s">
        <v>31</v>
      </c>
      <c r="K109" t="s">
        <v>31</v>
      </c>
      <c r="L109" t="s">
        <v>31</v>
      </c>
      <c r="M109" t="s">
        <v>31</v>
      </c>
      <c r="O109" s="149"/>
      <c r="P109" s="150"/>
      <c r="Q109" s="113"/>
    </row>
    <row r="110" spans="1:18" ht="15.75">
      <c r="A110" t="s">
        <v>1908</v>
      </c>
      <c r="B110" s="132">
        <f>R110</f>
        <v>9.3103448275862078E-3</v>
      </c>
      <c r="C110" s="22" t="s">
        <v>113</v>
      </c>
      <c r="D110" s="17" t="s">
        <v>2</v>
      </c>
      <c r="E110" t="s">
        <v>29</v>
      </c>
      <c r="F110" s="104" t="s">
        <v>14</v>
      </c>
      <c r="G110" t="s">
        <v>33</v>
      </c>
      <c r="H110">
        <v>1</v>
      </c>
      <c r="I110" s="180">
        <f t="shared" ref="I110:I111" si="6">B110</f>
        <v>9.3103448275862078E-3</v>
      </c>
      <c r="J110" t="s">
        <v>31</v>
      </c>
      <c r="K110" t="s">
        <v>31</v>
      </c>
      <c r="L110" t="s">
        <v>31</v>
      </c>
      <c r="M110" t="s">
        <v>31</v>
      </c>
      <c r="O110" s="181" t="s">
        <v>575</v>
      </c>
      <c r="P110" s="182">
        <v>54</v>
      </c>
      <c r="Q110" s="147" t="s">
        <v>1946</v>
      </c>
      <c r="R110" s="132">
        <f>P110*0.001/Q107</f>
        <v>9.3103448275862078E-3</v>
      </c>
    </row>
    <row r="111" spans="1:18" ht="15.75">
      <c r="A111" t="s">
        <v>1947</v>
      </c>
      <c r="B111">
        <v>1</v>
      </c>
      <c r="C111" t="s">
        <v>18</v>
      </c>
      <c r="D111" s="17" t="s">
        <v>2</v>
      </c>
      <c r="E111" t="s">
        <v>29</v>
      </c>
      <c r="F111" s="104" t="s">
        <v>14</v>
      </c>
      <c r="G111" t="s">
        <v>33</v>
      </c>
      <c r="H111">
        <v>1</v>
      </c>
      <c r="I111" s="180">
        <f t="shared" si="6"/>
        <v>1</v>
      </c>
      <c r="J111" t="s">
        <v>31</v>
      </c>
      <c r="K111" t="s">
        <v>31</v>
      </c>
      <c r="L111" t="s">
        <v>31</v>
      </c>
      <c r="M111" t="s">
        <v>31</v>
      </c>
      <c r="O111" s="149"/>
      <c r="P111" s="150"/>
    </row>
    <row r="112" spans="1:18" ht="15.75">
      <c r="A112" s="47" t="s">
        <v>601</v>
      </c>
      <c r="B112" s="132">
        <f>R112</f>
        <v>3.1E-4</v>
      </c>
      <c r="C112" t="s">
        <v>37</v>
      </c>
      <c r="D112" s="17" t="s">
        <v>40</v>
      </c>
      <c r="E112" t="s">
        <v>29</v>
      </c>
      <c r="F112" s="104" t="s">
        <v>35</v>
      </c>
      <c r="G112" t="s">
        <v>33</v>
      </c>
      <c r="H112">
        <v>2</v>
      </c>
      <c r="I112">
        <f>LN(B112)</f>
        <v>-8.0789382604850815</v>
      </c>
      <c r="J112">
        <v>2.8722813232690055E-2</v>
      </c>
      <c r="K112" t="s">
        <v>31</v>
      </c>
      <c r="L112" t="s">
        <v>31</v>
      </c>
      <c r="M112" t="s">
        <v>31</v>
      </c>
      <c r="O112" s="181" t="s">
        <v>575</v>
      </c>
      <c r="P112" s="175">
        <v>0.31</v>
      </c>
      <c r="Q112" t="s">
        <v>221</v>
      </c>
      <c r="R112" s="132">
        <f>P112*10^-3</f>
        <v>3.1E-4</v>
      </c>
    </row>
    <row r="113" spans="1:18" s="41" customFormat="1" ht="15.75">
      <c r="A113" s="99" t="s">
        <v>5</v>
      </c>
      <c r="B113" s="108" t="s">
        <v>1947</v>
      </c>
      <c r="C113" s="39"/>
    </row>
    <row r="114" spans="1:18">
      <c r="A114" s="101" t="s">
        <v>7</v>
      </c>
      <c r="B114" t="s">
        <v>1807</v>
      </c>
      <c r="C114" s="102"/>
    </row>
    <row r="115" spans="1:18">
      <c r="A115" s="114" t="s">
        <v>9</v>
      </c>
      <c r="B115" t="s">
        <v>1948</v>
      </c>
      <c r="C115" s="102"/>
    </row>
    <row r="116" spans="1:18" ht="15.75" customHeight="1">
      <c r="A116" s="101" t="s">
        <v>11</v>
      </c>
      <c r="B116" s="103" t="s">
        <v>789</v>
      </c>
    </row>
    <row r="117" spans="1:18">
      <c r="A117" s="101" t="s">
        <v>13</v>
      </c>
      <c r="B117" t="s">
        <v>14</v>
      </c>
    </row>
    <row r="118" spans="1:18">
      <c r="A118" s="101" t="s">
        <v>15</v>
      </c>
      <c r="B118">
        <v>1</v>
      </c>
    </row>
    <row r="119" spans="1:18">
      <c r="A119" s="101" t="s">
        <v>16</v>
      </c>
      <c r="B119" t="s">
        <v>17</v>
      </c>
    </row>
    <row r="120" spans="1:18">
      <c r="A120" s="101" t="s">
        <v>18</v>
      </c>
      <c r="B120" t="s">
        <v>18</v>
      </c>
    </row>
    <row r="121" spans="1:18" ht="15.75">
      <c r="A121" s="105" t="s">
        <v>19</v>
      </c>
    </row>
    <row r="122" spans="1:18" ht="15.75">
      <c r="A122" s="105"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75">
      <c r="A123" t="s">
        <v>1947</v>
      </c>
      <c r="B123">
        <v>1</v>
      </c>
      <c r="C123" t="s">
        <v>18</v>
      </c>
      <c r="D123" s="111" t="s">
        <v>2</v>
      </c>
      <c r="E123" t="s">
        <v>29</v>
      </c>
      <c r="F123" s="104" t="s">
        <v>14</v>
      </c>
      <c r="G123" t="s">
        <v>30</v>
      </c>
      <c r="H123">
        <v>1</v>
      </c>
      <c r="I123">
        <v>1</v>
      </c>
      <c r="J123" t="s">
        <v>31</v>
      </c>
      <c r="K123" t="s">
        <v>31</v>
      </c>
      <c r="L123" t="s">
        <v>31</v>
      </c>
      <c r="M123" t="s">
        <v>31</v>
      </c>
    </row>
    <row r="124" spans="1:18" ht="15.75">
      <c r="A124" s="47" t="s">
        <v>610</v>
      </c>
      <c r="B124">
        <f>R124</f>
        <v>0.6</v>
      </c>
      <c r="C124" t="s">
        <v>37</v>
      </c>
      <c r="D124" s="17" t="s">
        <v>40</v>
      </c>
      <c r="E124" t="s">
        <v>29</v>
      </c>
      <c r="F124" t="s">
        <v>58</v>
      </c>
      <c r="G124" t="s">
        <v>33</v>
      </c>
      <c r="H124">
        <v>1</v>
      </c>
      <c r="I124">
        <f>B124</f>
        <v>0.6</v>
      </c>
      <c r="J124" t="s">
        <v>31</v>
      </c>
      <c r="K124" t="s">
        <v>31</v>
      </c>
      <c r="L124" t="s">
        <v>31</v>
      </c>
      <c r="M124" t="s">
        <v>31</v>
      </c>
      <c r="P124" s="183">
        <v>0.6</v>
      </c>
      <c r="Q124" t="s">
        <v>221</v>
      </c>
      <c r="R124">
        <f>P124</f>
        <v>0.6</v>
      </c>
    </row>
    <row r="125" spans="1:18">
      <c r="A125" s="47" t="s">
        <v>908</v>
      </c>
      <c r="B125">
        <f t="shared" ref="B125:B127" si="7">R125</f>
        <v>0.39900000000000002</v>
      </c>
      <c r="C125" t="s">
        <v>37</v>
      </c>
      <c r="D125" t="s">
        <v>40</v>
      </c>
      <c r="E125" t="s">
        <v>29</v>
      </c>
      <c r="F125" t="s">
        <v>58</v>
      </c>
      <c r="G125" t="s">
        <v>33</v>
      </c>
      <c r="H125">
        <v>2</v>
      </c>
      <c r="I125">
        <f>LN(B125)</f>
        <v>-0.91879386209227354</v>
      </c>
      <c r="J125">
        <v>3.7749172176353707E-2</v>
      </c>
      <c r="K125" t="s">
        <v>31</v>
      </c>
      <c r="L125" t="s">
        <v>31</v>
      </c>
      <c r="M125" t="s">
        <v>31</v>
      </c>
      <c r="O125" s="119" t="s">
        <v>575</v>
      </c>
      <c r="P125" s="120">
        <v>399</v>
      </c>
      <c r="Q125" t="s">
        <v>221</v>
      </c>
      <c r="R125">
        <f>P125*0.001</f>
        <v>0.39900000000000002</v>
      </c>
    </row>
    <row r="126" spans="1:18">
      <c r="A126" s="47" t="s">
        <v>909</v>
      </c>
      <c r="B126">
        <f t="shared" si="7"/>
        <v>2.3800000000000002E-2</v>
      </c>
      <c r="C126" t="s">
        <v>37</v>
      </c>
      <c r="D126" t="s">
        <v>40</v>
      </c>
      <c r="E126" t="s">
        <v>29</v>
      </c>
      <c r="F126" t="s">
        <v>58</v>
      </c>
      <c r="G126" t="s">
        <v>33</v>
      </c>
      <c r="H126">
        <v>2</v>
      </c>
      <c r="I126">
        <f>LN(B126)</f>
        <v>-3.7380696983047081</v>
      </c>
      <c r="J126">
        <v>3.7749172176353707E-2</v>
      </c>
      <c r="K126" t="s">
        <v>31</v>
      </c>
      <c r="L126" t="s">
        <v>31</v>
      </c>
      <c r="M126" t="s">
        <v>31</v>
      </c>
      <c r="O126" s="119" t="s">
        <v>575</v>
      </c>
      <c r="P126" s="120">
        <v>23.8</v>
      </c>
      <c r="Q126" t="s">
        <v>221</v>
      </c>
      <c r="R126">
        <f t="shared" ref="R126:R127" si="8">P126*0.001</f>
        <v>2.3800000000000002E-2</v>
      </c>
    </row>
    <row r="127" spans="1:18">
      <c r="A127" s="47" t="s">
        <v>910</v>
      </c>
      <c r="B127">
        <f t="shared" si="7"/>
        <v>0.18</v>
      </c>
      <c r="C127" t="s">
        <v>37</v>
      </c>
      <c r="D127" t="s">
        <v>40</v>
      </c>
      <c r="E127" t="s">
        <v>29</v>
      </c>
      <c r="F127" t="s">
        <v>58</v>
      </c>
      <c r="G127" t="s">
        <v>33</v>
      </c>
      <c r="H127">
        <v>2</v>
      </c>
      <c r="I127">
        <f>LN(B127)</f>
        <v>-1.7147984280919266</v>
      </c>
      <c r="J127">
        <v>3.7749172176353707E-2</v>
      </c>
      <c r="K127" t="s">
        <v>31</v>
      </c>
      <c r="L127" t="s">
        <v>31</v>
      </c>
      <c r="M127" t="s">
        <v>31</v>
      </c>
      <c r="O127" s="119" t="s">
        <v>575</v>
      </c>
      <c r="P127" s="120">
        <v>180</v>
      </c>
      <c r="Q127" t="s">
        <v>221</v>
      </c>
      <c r="R127">
        <f t="shared" si="8"/>
        <v>0.18</v>
      </c>
    </row>
    <row r="128" spans="1:18" s="41" customFormat="1" ht="15.75">
      <c r="A128" s="99" t="s">
        <v>5</v>
      </c>
      <c r="B128" s="148" t="s">
        <v>1945</v>
      </c>
      <c r="C128" s="39"/>
    </row>
    <row r="129" spans="1:18">
      <c r="A129" s="101" t="s">
        <v>7</v>
      </c>
      <c r="B129" t="s">
        <v>1807</v>
      </c>
      <c r="C129" s="102"/>
    </row>
    <row r="130" spans="1:18">
      <c r="A130" s="114" t="s">
        <v>9</v>
      </c>
      <c r="B130" t="s">
        <v>1949</v>
      </c>
      <c r="C130" s="102"/>
    </row>
    <row r="131" spans="1:18" ht="15.75" customHeight="1">
      <c r="A131" s="101" t="s">
        <v>11</v>
      </c>
      <c r="B131" s="103" t="s">
        <v>789</v>
      </c>
    </row>
    <row r="132" spans="1:18">
      <c r="A132" s="101" t="s">
        <v>13</v>
      </c>
      <c r="B132" t="s">
        <v>14</v>
      </c>
    </row>
    <row r="133" spans="1:18">
      <c r="A133" s="101" t="s">
        <v>15</v>
      </c>
      <c r="B133" s="115">
        <f>B138</f>
        <v>6.9000000000000006E-2</v>
      </c>
    </row>
    <row r="134" spans="1:18">
      <c r="A134" s="101" t="s">
        <v>16</v>
      </c>
      <c r="B134" t="s">
        <v>17</v>
      </c>
    </row>
    <row r="135" spans="1:18">
      <c r="A135" s="101" t="s">
        <v>18</v>
      </c>
      <c r="B135" t="s">
        <v>113</v>
      </c>
    </row>
    <row r="136" spans="1:18" ht="15.75">
      <c r="A136" s="105" t="s">
        <v>19</v>
      </c>
    </row>
    <row r="137" spans="1:18" ht="15.75">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75">
      <c r="A138" s="17" t="s">
        <v>1945</v>
      </c>
      <c r="B138" s="115">
        <f>P138</f>
        <v>6.9000000000000006E-2</v>
      </c>
      <c r="C138" t="s">
        <v>113</v>
      </c>
      <c r="D138" s="111" t="s">
        <v>2</v>
      </c>
      <c r="E138" t="s">
        <v>29</v>
      </c>
      <c r="F138" s="104" t="s">
        <v>14</v>
      </c>
      <c r="G138" t="s">
        <v>30</v>
      </c>
      <c r="H138">
        <v>1</v>
      </c>
      <c r="I138" s="180">
        <f>B138</f>
        <v>6.9000000000000006E-2</v>
      </c>
      <c r="J138" t="s">
        <v>31</v>
      </c>
      <c r="K138" t="s">
        <v>31</v>
      </c>
      <c r="L138" t="s">
        <v>31</v>
      </c>
      <c r="M138" t="s">
        <v>31</v>
      </c>
      <c r="O138" s="149"/>
      <c r="P138" s="184">
        <f>P139</f>
        <v>6.9000000000000006E-2</v>
      </c>
      <c r="Q138" s="113"/>
    </row>
    <row r="139" spans="1:18" ht="15.75">
      <c r="A139" s="42" t="s">
        <v>1950</v>
      </c>
      <c r="B139" s="115">
        <f>P139</f>
        <v>6.9000000000000006E-2</v>
      </c>
      <c r="C139" t="s">
        <v>113</v>
      </c>
      <c r="D139" s="111" t="s">
        <v>2</v>
      </c>
      <c r="E139" t="s">
        <v>29</v>
      </c>
      <c r="F139" s="104" t="s">
        <v>14</v>
      </c>
      <c r="G139" t="s">
        <v>33</v>
      </c>
      <c r="H139">
        <v>1</v>
      </c>
      <c r="I139" s="180">
        <f>B139</f>
        <v>6.9000000000000006E-2</v>
      </c>
      <c r="J139" t="s">
        <v>31</v>
      </c>
      <c r="K139" t="s">
        <v>31</v>
      </c>
      <c r="L139" t="s">
        <v>31</v>
      </c>
      <c r="M139" t="s">
        <v>31</v>
      </c>
      <c r="P139" s="184">
        <f>P152</f>
        <v>6.9000000000000006E-2</v>
      </c>
    </row>
    <row r="140" spans="1:18">
      <c r="A140" s="47" t="s">
        <v>683</v>
      </c>
      <c r="B140">
        <f>R140</f>
        <v>6.2000000000000006E-3</v>
      </c>
      <c r="C140" t="s">
        <v>37</v>
      </c>
      <c r="D140" t="s">
        <v>40</v>
      </c>
      <c r="E140" t="s">
        <v>29</v>
      </c>
      <c r="F140" t="s">
        <v>35</v>
      </c>
      <c r="G140" t="s">
        <v>33</v>
      </c>
      <c r="H140">
        <v>2</v>
      </c>
      <c r="I140">
        <f>LN(B140)</f>
        <v>-5.083205986931091</v>
      </c>
      <c r="J140">
        <v>0.20928449536456342</v>
      </c>
      <c r="K140" t="s">
        <v>31</v>
      </c>
      <c r="L140" t="s">
        <v>31</v>
      </c>
      <c r="M140" t="s">
        <v>31</v>
      </c>
      <c r="O140" s="119" t="s">
        <v>575</v>
      </c>
      <c r="P140" s="120">
        <v>6.2</v>
      </c>
      <c r="Q140" t="s">
        <v>221</v>
      </c>
      <c r="R140">
        <f>0.001*P140</f>
        <v>6.2000000000000006E-3</v>
      </c>
    </row>
    <row r="141" spans="1:18">
      <c r="A141" s="47" t="s">
        <v>530</v>
      </c>
      <c r="B141">
        <f>R141</f>
        <v>6.2000000000000006E-3</v>
      </c>
      <c r="C141" t="s">
        <v>37</v>
      </c>
      <c r="D141" t="s">
        <v>40</v>
      </c>
      <c r="E141" t="s">
        <v>29</v>
      </c>
      <c r="F141" t="s">
        <v>35</v>
      </c>
      <c r="G141" t="s">
        <v>33</v>
      </c>
      <c r="H141">
        <v>2</v>
      </c>
      <c r="I141">
        <f>LN(B141)</f>
        <v>-5.083205986931091</v>
      </c>
      <c r="J141">
        <v>0.20928449536456342</v>
      </c>
      <c r="K141" t="s">
        <v>31</v>
      </c>
      <c r="L141" t="s">
        <v>31</v>
      </c>
      <c r="M141" t="s">
        <v>31</v>
      </c>
      <c r="O141" s="119" t="s">
        <v>575</v>
      </c>
      <c r="P141" s="120">
        <v>6.2</v>
      </c>
      <c r="Q141" t="s">
        <v>221</v>
      </c>
      <c r="R141">
        <f>0.001*P141</f>
        <v>6.2000000000000006E-3</v>
      </c>
    </row>
    <row r="142" spans="1:18" s="41" customFormat="1" ht="15.75">
      <c r="A142" s="99" t="s">
        <v>5</v>
      </c>
      <c r="B142" s="185" t="s">
        <v>1950</v>
      </c>
      <c r="C142" s="39"/>
    </row>
    <row r="143" spans="1:18">
      <c r="A143" s="101" t="s">
        <v>7</v>
      </c>
      <c r="B143" t="s">
        <v>1807</v>
      </c>
      <c r="C143" s="102"/>
    </row>
    <row r="144" spans="1:18">
      <c r="A144" s="114" t="s">
        <v>9</v>
      </c>
      <c r="B144" t="s">
        <v>1951</v>
      </c>
      <c r="C144" s="102"/>
    </row>
    <row r="145" spans="1:18" ht="15.75" customHeight="1">
      <c r="A145" s="101" t="s">
        <v>11</v>
      </c>
      <c r="B145" s="103" t="s">
        <v>789</v>
      </c>
    </row>
    <row r="146" spans="1:18">
      <c r="A146" s="101" t="s">
        <v>13</v>
      </c>
      <c r="B146" t="s">
        <v>14</v>
      </c>
    </row>
    <row r="147" spans="1:18">
      <c r="A147" s="101" t="s">
        <v>15</v>
      </c>
      <c r="B147" s="115">
        <f>B152</f>
        <v>6.9000000000000006E-2</v>
      </c>
    </row>
    <row r="148" spans="1:18">
      <c r="A148" s="101" t="s">
        <v>16</v>
      </c>
      <c r="B148" t="s">
        <v>17</v>
      </c>
    </row>
    <row r="149" spans="1:18">
      <c r="A149" s="101" t="s">
        <v>18</v>
      </c>
      <c r="B149" t="s">
        <v>113</v>
      </c>
    </row>
    <row r="150" spans="1:18" ht="15.75">
      <c r="A150" s="105" t="s">
        <v>19</v>
      </c>
    </row>
    <row r="151" spans="1:18" ht="15.75">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75">
      <c r="A152" s="42" t="s">
        <v>1950</v>
      </c>
      <c r="B152" s="186">
        <f>P152</f>
        <v>6.9000000000000006E-2</v>
      </c>
      <c r="C152" t="s">
        <v>113</v>
      </c>
      <c r="D152" s="111" t="s">
        <v>2</v>
      </c>
      <c r="E152" t="s">
        <v>29</v>
      </c>
      <c r="F152" s="104" t="s">
        <v>14</v>
      </c>
      <c r="G152" t="s">
        <v>30</v>
      </c>
      <c r="H152">
        <v>1</v>
      </c>
      <c r="I152" s="180">
        <f>B152</f>
        <v>6.9000000000000006E-2</v>
      </c>
      <c r="J152" t="s">
        <v>31</v>
      </c>
      <c r="K152" t="s">
        <v>31</v>
      </c>
      <c r="L152" t="s">
        <v>31</v>
      </c>
      <c r="M152" t="s">
        <v>31</v>
      </c>
      <c r="O152" s="187" t="s">
        <v>605</v>
      </c>
      <c r="P152" s="184">
        <f>P167</f>
        <v>6.9000000000000006E-2</v>
      </c>
    </row>
    <row r="153" spans="1:18" ht="15.75">
      <c r="A153" t="s">
        <v>1952</v>
      </c>
      <c r="B153" s="186">
        <f t="shared" ref="B153:B156" si="9">P153</f>
        <v>2.1000000000000001E-2</v>
      </c>
      <c r="C153" t="s">
        <v>113</v>
      </c>
      <c r="D153" s="111" t="s">
        <v>2</v>
      </c>
      <c r="E153" t="s">
        <v>29</v>
      </c>
      <c r="F153" s="104" t="s">
        <v>14</v>
      </c>
      <c r="G153" t="s">
        <v>33</v>
      </c>
      <c r="H153">
        <v>1</v>
      </c>
      <c r="I153" s="180">
        <f t="shared" ref="I153:I154" si="10">B153</f>
        <v>2.1000000000000001E-2</v>
      </c>
      <c r="J153" t="s">
        <v>31</v>
      </c>
      <c r="K153" t="s">
        <v>31</v>
      </c>
      <c r="L153" t="s">
        <v>31</v>
      </c>
      <c r="M153" t="s">
        <v>31</v>
      </c>
      <c r="O153" s="187" t="s">
        <v>817</v>
      </c>
      <c r="P153" s="188">
        <v>2.1000000000000001E-2</v>
      </c>
    </row>
    <row r="154" spans="1:18" ht="15.75">
      <c r="A154" t="s">
        <v>1953</v>
      </c>
      <c r="B154" s="186">
        <f t="shared" si="9"/>
        <v>6.9000000000000006E-2</v>
      </c>
      <c r="C154" t="s">
        <v>113</v>
      </c>
      <c r="D154" s="111" t="s">
        <v>2</v>
      </c>
      <c r="E154" t="s">
        <v>29</v>
      </c>
      <c r="F154" s="104" t="s">
        <v>14</v>
      </c>
      <c r="G154" t="s">
        <v>33</v>
      </c>
      <c r="H154">
        <v>1</v>
      </c>
      <c r="I154" s="180">
        <f t="shared" si="10"/>
        <v>6.9000000000000006E-2</v>
      </c>
      <c r="J154" t="s">
        <v>31</v>
      </c>
      <c r="K154" t="s">
        <v>31</v>
      </c>
      <c r="L154" t="s">
        <v>31</v>
      </c>
      <c r="M154" t="s">
        <v>31</v>
      </c>
      <c r="O154" s="143" t="s">
        <v>817</v>
      </c>
      <c r="P154" s="184">
        <f>P168</f>
        <v>6.9000000000000006E-2</v>
      </c>
    </row>
    <row r="155" spans="1:18" ht="15.75">
      <c r="A155" s="106" t="s">
        <v>38</v>
      </c>
      <c r="B155" s="186">
        <f t="shared" si="9"/>
        <v>1.66</v>
      </c>
      <c r="C155" t="s">
        <v>39</v>
      </c>
      <c r="D155" s="17" t="s">
        <v>40</v>
      </c>
      <c r="E155" t="s">
        <v>29</v>
      </c>
      <c r="F155" s="104" t="s">
        <v>35</v>
      </c>
      <c r="G155" t="s">
        <v>33</v>
      </c>
      <c r="H155">
        <v>2</v>
      </c>
      <c r="I155">
        <f t="shared" ref="I155:I156" si="11">LN(B155)</f>
        <v>0.50681760236845186</v>
      </c>
      <c r="J155">
        <v>9.7082439194738052E-2</v>
      </c>
      <c r="K155" t="s">
        <v>31</v>
      </c>
      <c r="L155" t="s">
        <v>31</v>
      </c>
      <c r="M155" t="s">
        <v>31</v>
      </c>
      <c r="O155" s="119" t="s">
        <v>216</v>
      </c>
      <c r="P155" s="120">
        <v>1.66</v>
      </c>
      <c r="Q155" t="s">
        <v>216</v>
      </c>
      <c r="R155" s="113">
        <f>P155</f>
        <v>1.66</v>
      </c>
    </row>
    <row r="156" spans="1:18" ht="15.75">
      <c r="A156" s="106" t="s">
        <v>480</v>
      </c>
      <c r="B156" s="186">
        <f t="shared" si="9"/>
        <v>4.4000000000000004</v>
      </c>
      <c r="C156" t="s">
        <v>37</v>
      </c>
      <c r="D156" s="17" t="s">
        <v>40</v>
      </c>
      <c r="E156" t="s">
        <v>29</v>
      </c>
      <c r="F156" s="104" t="s">
        <v>35</v>
      </c>
      <c r="G156" t="s">
        <v>33</v>
      </c>
      <c r="H156">
        <v>2</v>
      </c>
      <c r="I156">
        <f t="shared" si="11"/>
        <v>1.4816045409242156</v>
      </c>
      <c r="J156">
        <v>9.7082439194738052E-2</v>
      </c>
      <c r="K156" t="s">
        <v>31</v>
      </c>
      <c r="L156" t="s">
        <v>31</v>
      </c>
      <c r="M156" t="s">
        <v>31</v>
      </c>
      <c r="O156" s="119" t="s">
        <v>221</v>
      </c>
      <c r="P156" s="120">
        <v>4.4000000000000004</v>
      </c>
    </row>
    <row r="157" spans="1:18" s="41" customFormat="1" ht="15.75">
      <c r="A157" s="99" t="s">
        <v>5</v>
      </c>
      <c r="B157" s="108" t="s">
        <v>1953</v>
      </c>
      <c r="C157" s="39"/>
    </row>
    <row r="158" spans="1:18">
      <c r="A158" s="101" t="s">
        <v>7</v>
      </c>
      <c r="B158" t="s">
        <v>1807</v>
      </c>
      <c r="C158" s="102"/>
    </row>
    <row r="159" spans="1:18">
      <c r="A159" s="114" t="s">
        <v>9</v>
      </c>
      <c r="B159" t="s">
        <v>1954</v>
      </c>
      <c r="C159" s="102"/>
    </row>
    <row r="160" spans="1:18" ht="15.75" customHeight="1">
      <c r="A160" s="101" t="s">
        <v>11</v>
      </c>
      <c r="B160" s="103" t="s">
        <v>789</v>
      </c>
    </row>
    <row r="161" spans="1:18">
      <c r="A161" s="101" t="s">
        <v>13</v>
      </c>
      <c r="B161" t="s">
        <v>14</v>
      </c>
    </row>
    <row r="162" spans="1:18">
      <c r="A162" s="101" t="s">
        <v>15</v>
      </c>
      <c r="B162" s="186">
        <f>B167</f>
        <v>6.9000000000000006E-2</v>
      </c>
    </row>
    <row r="163" spans="1:18">
      <c r="A163" s="101" t="s">
        <v>16</v>
      </c>
      <c r="B163" t="s">
        <v>17</v>
      </c>
    </row>
    <row r="164" spans="1:18">
      <c r="A164" s="101" t="s">
        <v>18</v>
      </c>
      <c r="B164" t="s">
        <v>113</v>
      </c>
    </row>
    <row r="165" spans="1:18" ht="15.75">
      <c r="A165" s="105" t="s">
        <v>19</v>
      </c>
    </row>
    <row r="166" spans="1:18" ht="15.75">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75">
      <c r="A167" t="s">
        <v>1953</v>
      </c>
      <c r="B167" s="116">
        <f>P167</f>
        <v>6.9000000000000006E-2</v>
      </c>
      <c r="C167" t="s">
        <v>113</v>
      </c>
      <c r="D167" s="111" t="s">
        <v>2</v>
      </c>
      <c r="E167" t="s">
        <v>29</v>
      </c>
      <c r="F167" s="104" t="s">
        <v>14</v>
      </c>
      <c r="G167" t="s">
        <v>30</v>
      </c>
      <c r="H167">
        <v>1</v>
      </c>
      <c r="I167" s="116">
        <f>B167</f>
        <v>6.9000000000000006E-2</v>
      </c>
      <c r="J167" t="s">
        <v>31</v>
      </c>
      <c r="K167" t="s">
        <v>31</v>
      </c>
      <c r="L167" t="s">
        <v>31</v>
      </c>
      <c r="M167" t="s">
        <v>31</v>
      </c>
      <c r="P167" s="189">
        <f>P185</f>
        <v>6.9000000000000006E-2</v>
      </c>
    </row>
    <row r="168" spans="1:18" ht="15.75">
      <c r="A168" s="42" t="s">
        <v>1955</v>
      </c>
      <c r="B168" s="116">
        <f>P168</f>
        <v>6.9000000000000006E-2</v>
      </c>
      <c r="C168" t="s">
        <v>113</v>
      </c>
      <c r="D168" s="111" t="s">
        <v>2</v>
      </c>
      <c r="E168" t="s">
        <v>29</v>
      </c>
      <c r="F168" s="104" t="s">
        <v>14</v>
      </c>
      <c r="G168" t="s">
        <v>33</v>
      </c>
      <c r="H168">
        <v>1</v>
      </c>
      <c r="I168" s="116">
        <f>B168</f>
        <v>6.9000000000000006E-2</v>
      </c>
      <c r="J168" t="s">
        <v>31</v>
      </c>
      <c r="K168" t="s">
        <v>31</v>
      </c>
      <c r="L168" t="s">
        <v>31</v>
      </c>
      <c r="M168" t="s">
        <v>31</v>
      </c>
      <c r="P168" s="189">
        <f>P185</f>
        <v>6.9000000000000006E-2</v>
      </c>
    </row>
    <row r="169" spans="1:18" ht="15.75">
      <c r="A169" s="106" t="s">
        <v>38</v>
      </c>
      <c r="B169" s="113">
        <f>R169</f>
        <v>0.19</v>
      </c>
      <c r="C169" t="s">
        <v>39</v>
      </c>
      <c r="D169" s="17" t="s">
        <v>40</v>
      </c>
      <c r="E169" t="s">
        <v>29</v>
      </c>
      <c r="F169" s="104" t="s">
        <v>35</v>
      </c>
      <c r="G169" t="s">
        <v>33</v>
      </c>
      <c r="H169">
        <v>2</v>
      </c>
      <c r="I169">
        <f t="shared" ref="I169:I173" si="12">LN(B169)</f>
        <v>-1.6607312068216509</v>
      </c>
      <c r="J169">
        <v>0.20928449536456342</v>
      </c>
      <c r="K169" t="s">
        <v>31</v>
      </c>
      <c r="L169" t="s">
        <v>31</v>
      </c>
      <c r="M169" t="s">
        <v>31</v>
      </c>
      <c r="O169" s="123" t="s">
        <v>216</v>
      </c>
      <c r="P169" s="120">
        <v>0.19</v>
      </c>
      <c r="Q169" t="s">
        <v>216</v>
      </c>
      <c r="R169" s="113">
        <f>P169</f>
        <v>0.19</v>
      </c>
    </row>
    <row r="170" spans="1:18" ht="15.75">
      <c r="A170" s="47" t="s">
        <v>791</v>
      </c>
      <c r="B170">
        <f>R170</f>
        <v>5.9000000000000007E-3</v>
      </c>
      <c r="C170" t="s">
        <v>37</v>
      </c>
      <c r="D170" s="17" t="s">
        <v>40</v>
      </c>
      <c r="E170" t="s">
        <v>29</v>
      </c>
      <c r="F170" s="104" t="s">
        <v>35</v>
      </c>
      <c r="G170" t="s">
        <v>33</v>
      </c>
      <c r="H170">
        <v>2</v>
      </c>
      <c r="I170">
        <f t="shared" si="12"/>
        <v>-5.132802928070463</v>
      </c>
      <c r="J170">
        <v>0.20928449536456342</v>
      </c>
      <c r="K170" t="s">
        <v>31</v>
      </c>
      <c r="L170" t="s">
        <v>31</v>
      </c>
      <c r="M170" t="s">
        <v>31</v>
      </c>
      <c r="O170" s="119" t="s">
        <v>575</v>
      </c>
      <c r="P170" s="120">
        <v>5.9</v>
      </c>
      <c r="Q170" t="s">
        <v>221</v>
      </c>
      <c r="R170">
        <f>0.001*P170</f>
        <v>5.9000000000000007E-3</v>
      </c>
    </row>
    <row r="171" spans="1:18" ht="15.75">
      <c r="A171" s="47" t="s">
        <v>546</v>
      </c>
      <c r="B171">
        <f>R171</f>
        <v>9.0000000000000008E-4</v>
      </c>
      <c r="C171" t="s">
        <v>37</v>
      </c>
      <c r="D171" s="17" t="s">
        <v>40</v>
      </c>
      <c r="E171" t="s">
        <v>29</v>
      </c>
      <c r="F171" s="104" t="s">
        <v>58</v>
      </c>
      <c r="G171" t="s">
        <v>33</v>
      </c>
      <c r="H171">
        <v>2</v>
      </c>
      <c r="I171">
        <f t="shared" si="12"/>
        <v>-7.0131157946399636</v>
      </c>
      <c r="J171">
        <v>0.20928449536456342</v>
      </c>
      <c r="K171" t="s">
        <v>31</v>
      </c>
      <c r="L171" t="s">
        <v>31</v>
      </c>
      <c r="M171" t="s">
        <v>31</v>
      </c>
      <c r="O171" s="119" t="s">
        <v>575</v>
      </c>
      <c r="P171" s="120">
        <v>0.9</v>
      </c>
      <c r="Q171" t="s">
        <v>221</v>
      </c>
      <c r="R171">
        <f t="shared" ref="R171:R173" si="13">0.001*P171</f>
        <v>9.0000000000000008E-4</v>
      </c>
    </row>
    <row r="172" spans="1:18" ht="15.75">
      <c r="A172" s="106" t="s">
        <v>792</v>
      </c>
      <c r="B172">
        <f>R172</f>
        <v>2.9000000000000001E-2</v>
      </c>
      <c r="C172" t="s">
        <v>37</v>
      </c>
      <c r="D172" s="17" t="s">
        <v>40</v>
      </c>
      <c r="E172" t="s">
        <v>29</v>
      </c>
      <c r="F172" s="104" t="s">
        <v>741</v>
      </c>
      <c r="G172" t="s">
        <v>33</v>
      </c>
      <c r="H172">
        <v>2</v>
      </c>
      <c r="I172">
        <f t="shared" si="12"/>
        <v>-3.5404594489956631</v>
      </c>
      <c r="J172">
        <v>0.20928449536456342</v>
      </c>
      <c r="K172" t="s">
        <v>31</v>
      </c>
      <c r="L172" t="s">
        <v>31</v>
      </c>
      <c r="M172" t="s">
        <v>31</v>
      </c>
      <c r="O172" s="119" t="s">
        <v>575</v>
      </c>
      <c r="P172" s="120">
        <v>29</v>
      </c>
      <c r="Q172" t="s">
        <v>221</v>
      </c>
      <c r="R172">
        <f t="shared" si="13"/>
        <v>2.9000000000000001E-2</v>
      </c>
    </row>
    <row r="173" spans="1:18" ht="15.75">
      <c r="A173" s="17" t="s">
        <v>1808</v>
      </c>
      <c r="B173">
        <f>R173</f>
        <v>6.7999999999999996E-3</v>
      </c>
      <c r="C173" t="s">
        <v>37</v>
      </c>
      <c r="D173" s="111" t="s">
        <v>2</v>
      </c>
      <c r="E173" t="s">
        <v>29</v>
      </c>
      <c r="F173" s="104" t="s">
        <v>741</v>
      </c>
      <c r="G173" t="s">
        <v>33</v>
      </c>
      <c r="H173">
        <v>2</v>
      </c>
      <c r="I173">
        <f t="shared" si="12"/>
        <v>-4.9908326668000758</v>
      </c>
      <c r="J173">
        <v>0.20928449536456342</v>
      </c>
      <c r="K173" t="s">
        <v>31</v>
      </c>
      <c r="L173" t="s">
        <v>31</v>
      </c>
      <c r="M173" t="s">
        <v>31</v>
      </c>
      <c r="O173" s="190" t="s">
        <v>575</v>
      </c>
      <c r="P173" s="155">
        <v>6.8</v>
      </c>
      <c r="Q173" t="s">
        <v>221</v>
      </c>
      <c r="R173">
        <f t="shared" si="13"/>
        <v>6.7999999999999996E-3</v>
      </c>
    </row>
    <row r="174" spans="1:18" s="41" customFormat="1" ht="15.75">
      <c r="A174" s="99" t="s">
        <v>5</v>
      </c>
      <c r="B174" s="108" t="s">
        <v>1955</v>
      </c>
      <c r="C174" s="39"/>
    </row>
    <row r="175" spans="1:18">
      <c r="A175" s="101" t="s">
        <v>7</v>
      </c>
      <c r="B175" t="s">
        <v>1807</v>
      </c>
      <c r="C175" s="102"/>
    </row>
    <row r="176" spans="1:18">
      <c r="A176" s="114" t="s">
        <v>9</v>
      </c>
      <c r="B176" t="s">
        <v>1956</v>
      </c>
      <c r="C176" s="102"/>
    </row>
    <row r="177" spans="1:18" ht="15.75" customHeight="1">
      <c r="A177" s="101" t="s">
        <v>11</v>
      </c>
      <c r="B177" s="103" t="s">
        <v>789</v>
      </c>
    </row>
    <row r="178" spans="1:18">
      <c r="A178" s="101" t="s">
        <v>13</v>
      </c>
      <c r="B178" t="s">
        <v>14</v>
      </c>
    </row>
    <row r="179" spans="1:18">
      <c r="A179" s="101" t="s">
        <v>15</v>
      </c>
      <c r="B179" s="115">
        <f>B184</f>
        <v>6.9000000000000006E-2</v>
      </c>
    </row>
    <row r="180" spans="1:18">
      <c r="A180" s="101" t="s">
        <v>16</v>
      </c>
      <c r="B180" t="s">
        <v>17</v>
      </c>
    </row>
    <row r="181" spans="1:18">
      <c r="A181" s="101" t="s">
        <v>18</v>
      </c>
      <c r="B181" t="s">
        <v>113</v>
      </c>
    </row>
    <row r="182" spans="1:18" ht="15.75">
      <c r="A182" s="105" t="s">
        <v>19</v>
      </c>
    </row>
    <row r="183" spans="1:18" ht="15.75">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75">
      <c r="A184" s="42" t="s">
        <v>1955</v>
      </c>
      <c r="B184" s="191">
        <f>P185</f>
        <v>6.9000000000000006E-2</v>
      </c>
      <c r="C184" t="s">
        <v>113</v>
      </c>
      <c r="D184" s="111" t="s">
        <v>2</v>
      </c>
      <c r="E184" t="s">
        <v>29</v>
      </c>
      <c r="F184" s="104" t="s">
        <v>14</v>
      </c>
      <c r="G184" t="s">
        <v>30</v>
      </c>
      <c r="H184">
        <v>1</v>
      </c>
      <c r="I184" s="116">
        <f>B184</f>
        <v>6.9000000000000006E-2</v>
      </c>
      <c r="J184" t="s">
        <v>31</v>
      </c>
      <c r="K184" t="s">
        <v>31</v>
      </c>
      <c r="L184" t="s">
        <v>31</v>
      </c>
      <c r="M184" t="s">
        <v>31</v>
      </c>
    </row>
    <row r="185" spans="1:18" ht="15.75">
      <c r="A185" t="s">
        <v>1957</v>
      </c>
      <c r="B185" s="191">
        <f>P185</f>
        <v>6.9000000000000006E-2</v>
      </c>
      <c r="C185" t="s">
        <v>113</v>
      </c>
      <c r="D185" s="111" t="s">
        <v>2</v>
      </c>
      <c r="E185" t="s">
        <v>29</v>
      </c>
      <c r="F185" s="104" t="s">
        <v>14</v>
      </c>
      <c r="G185" t="s">
        <v>33</v>
      </c>
      <c r="H185">
        <v>1</v>
      </c>
      <c r="I185" s="116">
        <f>B185</f>
        <v>6.9000000000000006E-2</v>
      </c>
      <c r="J185" t="s">
        <v>31</v>
      </c>
      <c r="K185" t="s">
        <v>31</v>
      </c>
      <c r="L185" t="s">
        <v>31</v>
      </c>
      <c r="M185" t="s">
        <v>31</v>
      </c>
      <c r="P185" s="184">
        <v>6.9000000000000006E-2</v>
      </c>
    </row>
    <row r="186" spans="1:18" ht="15.75">
      <c r="A186" s="106" t="s">
        <v>38</v>
      </c>
      <c r="B186" s="113">
        <f>P186</f>
        <v>4.08</v>
      </c>
      <c r="C186" t="s">
        <v>39</v>
      </c>
      <c r="D186" s="17" t="s">
        <v>40</v>
      </c>
      <c r="E186" t="s">
        <v>29</v>
      </c>
      <c r="F186" s="104" t="s">
        <v>35</v>
      </c>
      <c r="G186" t="s">
        <v>33</v>
      </c>
      <c r="H186">
        <v>2</v>
      </c>
      <c r="I186">
        <f t="shared" ref="I186:I187" si="14">LN(B186)</f>
        <v>1.4060969884160703</v>
      </c>
      <c r="J186">
        <v>0.20928449536456342</v>
      </c>
      <c r="K186" t="s">
        <v>31</v>
      </c>
      <c r="L186" t="s">
        <v>31</v>
      </c>
      <c r="M186" t="s">
        <v>31</v>
      </c>
      <c r="O186" s="119" t="s">
        <v>216</v>
      </c>
      <c r="P186" s="120">
        <f>2.81+1.27</f>
        <v>4.08</v>
      </c>
    </row>
    <row r="187" spans="1:18" ht="15.75">
      <c r="A187" s="106" t="s">
        <v>792</v>
      </c>
      <c r="B187">
        <f>R187</f>
        <v>8.0999999999999996E-3</v>
      </c>
      <c r="C187" t="s">
        <v>37</v>
      </c>
      <c r="D187" s="17" t="s">
        <v>40</v>
      </c>
      <c r="E187" t="s">
        <v>29</v>
      </c>
      <c r="F187" s="104" t="s">
        <v>741</v>
      </c>
      <c r="G187" t="s">
        <v>33</v>
      </c>
      <c r="H187">
        <v>2</v>
      </c>
      <c r="I187">
        <f t="shared" si="14"/>
        <v>-4.8158912173037436</v>
      </c>
      <c r="J187">
        <v>0.20928449536456342</v>
      </c>
      <c r="K187" t="s">
        <v>31</v>
      </c>
      <c r="L187" t="s">
        <v>31</v>
      </c>
      <c r="M187" t="s">
        <v>31</v>
      </c>
      <c r="O187" s="119" t="s">
        <v>575</v>
      </c>
      <c r="P187" s="120">
        <v>8.1</v>
      </c>
      <c r="Q187" t="s">
        <v>221</v>
      </c>
      <c r="R187">
        <f>P187*0.001</f>
        <v>8.0999999999999996E-3</v>
      </c>
    </row>
    <row r="188" spans="1:18">
      <c r="A188" s="47" t="s">
        <v>530</v>
      </c>
      <c r="B188">
        <f>R188</f>
        <v>0.01</v>
      </c>
      <c r="C188" t="s">
        <v>37</v>
      </c>
      <c r="D188" t="s">
        <v>40</v>
      </c>
      <c r="E188" t="s">
        <v>29</v>
      </c>
      <c r="F188" t="s">
        <v>35</v>
      </c>
      <c r="G188" t="s">
        <v>33</v>
      </c>
      <c r="H188">
        <v>2</v>
      </c>
      <c r="I188">
        <f>LN(B188)</f>
        <v>-4.6051701859880909</v>
      </c>
      <c r="J188">
        <v>0.20928449536456342</v>
      </c>
      <c r="K188" t="s">
        <v>31</v>
      </c>
      <c r="L188" t="s">
        <v>31</v>
      </c>
      <c r="M188" t="s">
        <v>31</v>
      </c>
      <c r="O188" s="119" t="s">
        <v>575</v>
      </c>
      <c r="P188" s="120">
        <v>10</v>
      </c>
      <c r="Q188" t="s">
        <v>221</v>
      </c>
      <c r="R188">
        <f>P188*0.001</f>
        <v>0.01</v>
      </c>
    </row>
    <row r="189" spans="1:18" ht="15.75">
      <c r="A189" s="17" t="s">
        <v>1808</v>
      </c>
      <c r="B189">
        <f>R189</f>
        <v>0.01</v>
      </c>
      <c r="C189" t="s">
        <v>37</v>
      </c>
      <c r="D189" s="111" t="s">
        <v>2</v>
      </c>
      <c r="E189" t="s">
        <v>29</v>
      </c>
      <c r="F189" s="104" t="s">
        <v>741</v>
      </c>
      <c r="G189" t="s">
        <v>33</v>
      </c>
      <c r="H189">
        <v>2</v>
      </c>
      <c r="I189">
        <f t="shared" ref="I189" si="15">LN(B189)</f>
        <v>-4.6051701859880909</v>
      </c>
      <c r="J189">
        <v>0.20928449536456342</v>
      </c>
      <c r="K189" t="s">
        <v>31</v>
      </c>
      <c r="L189" t="s">
        <v>31</v>
      </c>
      <c r="M189" t="s">
        <v>31</v>
      </c>
      <c r="O189" s="190" t="s">
        <v>575</v>
      </c>
      <c r="P189" s="155">
        <v>10</v>
      </c>
      <c r="Q189" t="s">
        <v>221</v>
      </c>
      <c r="R189">
        <f t="shared" ref="R189" si="16">0.001*P189</f>
        <v>0.01</v>
      </c>
    </row>
    <row r="190" spans="1:18" s="41" customFormat="1" ht="15.75">
      <c r="A190" s="99" t="s">
        <v>5</v>
      </c>
      <c r="B190" s="108" t="s">
        <v>1957</v>
      </c>
      <c r="C190" s="39"/>
    </row>
    <row r="191" spans="1:18">
      <c r="A191" s="101" t="s">
        <v>7</v>
      </c>
      <c r="B191" t="s">
        <v>1807</v>
      </c>
      <c r="C191" s="102"/>
    </row>
    <row r="192" spans="1:18">
      <c r="A192" s="114" t="s">
        <v>9</v>
      </c>
      <c r="B192" t="s">
        <v>1958</v>
      </c>
      <c r="C192" s="102"/>
    </row>
    <row r="193" spans="1:21" ht="15.75" customHeight="1">
      <c r="A193" s="101" t="s">
        <v>11</v>
      </c>
      <c r="B193" s="103" t="s">
        <v>789</v>
      </c>
    </row>
    <row r="194" spans="1:21">
      <c r="A194" s="101" t="s">
        <v>13</v>
      </c>
      <c r="B194" t="s">
        <v>14</v>
      </c>
      <c r="R194" s="159" t="s">
        <v>880</v>
      </c>
    </row>
    <row r="195" spans="1:21">
      <c r="A195" s="101" t="s">
        <v>15</v>
      </c>
      <c r="B195" s="115">
        <f>B200</f>
        <v>0.73</v>
      </c>
      <c r="R195" t="s">
        <v>881</v>
      </c>
      <c r="S195">
        <v>8900</v>
      </c>
      <c r="T195" t="s">
        <v>882</v>
      </c>
    </row>
    <row r="196" spans="1:21">
      <c r="A196" s="101" t="s">
        <v>16</v>
      </c>
      <c r="B196" t="s">
        <v>17</v>
      </c>
      <c r="R196" t="s">
        <v>883</v>
      </c>
      <c r="S196">
        <f>5*10^-6</f>
        <v>4.9999999999999996E-6</v>
      </c>
      <c r="T196" t="s">
        <v>884</v>
      </c>
    </row>
    <row r="197" spans="1:21">
      <c r="A197" s="101" t="s">
        <v>18</v>
      </c>
      <c r="B197" t="s">
        <v>113</v>
      </c>
      <c r="R197" s="162" t="s">
        <v>885</v>
      </c>
      <c r="S197" s="163">
        <f>S196*S195</f>
        <v>4.4499999999999998E-2</v>
      </c>
      <c r="T197" s="164" t="s">
        <v>886</v>
      </c>
    </row>
    <row r="198" spans="1:21" ht="15.75">
      <c r="A198" s="105" t="s">
        <v>19</v>
      </c>
    </row>
    <row r="199" spans="1:21" ht="15.75">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548</v>
      </c>
      <c r="U199" s="150"/>
    </row>
    <row r="200" spans="1:21" ht="15.75">
      <c r="A200" t="s">
        <v>1957</v>
      </c>
      <c r="B200" s="182">
        <v>0.73</v>
      </c>
      <c r="C200" t="s">
        <v>113</v>
      </c>
      <c r="D200" s="111" t="s">
        <v>2</v>
      </c>
      <c r="E200" t="s">
        <v>29</v>
      </c>
      <c r="F200" t="s">
        <v>14</v>
      </c>
      <c r="G200" t="s">
        <v>30</v>
      </c>
      <c r="H200">
        <v>1</v>
      </c>
      <c r="I200">
        <f>B200</f>
        <v>0.73</v>
      </c>
      <c r="J200" t="s">
        <v>31</v>
      </c>
      <c r="K200" t="s">
        <v>31</v>
      </c>
      <c r="L200" t="s">
        <v>31</v>
      </c>
      <c r="M200" t="s">
        <v>31</v>
      </c>
      <c r="O200" s="193" t="s">
        <v>887</v>
      </c>
      <c r="P200" s="161">
        <f>B200*100</f>
        <v>73</v>
      </c>
      <c r="R200" s="166">
        <v>0.76</v>
      </c>
      <c r="S200" s="167" t="s">
        <v>605</v>
      </c>
      <c r="T200" s="166">
        <f>R200*S197</f>
        <v>3.3819999999999996E-2</v>
      </c>
      <c r="U200" s="167" t="s">
        <v>221</v>
      </c>
    </row>
    <row r="201" spans="1:21" ht="15.75">
      <c r="A201" t="s">
        <v>1959</v>
      </c>
      <c r="B201" s="182">
        <v>0.73</v>
      </c>
      <c r="C201" t="s">
        <v>113</v>
      </c>
      <c r="D201" s="111" t="s">
        <v>2</v>
      </c>
      <c r="E201" t="s">
        <v>29</v>
      </c>
      <c r="F201" t="s">
        <v>14</v>
      </c>
      <c r="G201" t="s">
        <v>33</v>
      </c>
      <c r="H201">
        <v>1</v>
      </c>
      <c r="I201">
        <f t="shared" ref="I201:I202" si="17">B201</f>
        <v>0.73</v>
      </c>
      <c r="J201">
        <v>7.2284161474004766E-2</v>
      </c>
      <c r="K201" t="s">
        <v>31</v>
      </c>
      <c r="L201" t="s">
        <v>31</v>
      </c>
      <c r="M201" t="s">
        <v>31</v>
      </c>
      <c r="O201" s="119" t="s">
        <v>887</v>
      </c>
      <c r="P201" s="120">
        <f>B201*100</f>
        <v>73</v>
      </c>
    </row>
    <row r="202" spans="1:21" ht="15.75">
      <c r="A202" s="42" t="s">
        <v>1918</v>
      </c>
      <c r="B202" s="157">
        <f>T200</f>
        <v>3.3819999999999996E-2</v>
      </c>
      <c r="C202" t="s">
        <v>37</v>
      </c>
      <c r="D202" s="111" t="s">
        <v>2</v>
      </c>
      <c r="E202" t="s">
        <v>29</v>
      </c>
      <c r="F202" s="104" t="s">
        <v>14</v>
      </c>
      <c r="G202" t="s">
        <v>33</v>
      </c>
      <c r="H202">
        <v>1</v>
      </c>
      <c r="I202">
        <f t="shared" si="17"/>
        <v>3.3819999999999996E-2</v>
      </c>
      <c r="J202">
        <v>7.2284161474004766E-2</v>
      </c>
      <c r="K202" t="s">
        <v>31</v>
      </c>
      <c r="L202" t="s">
        <v>31</v>
      </c>
      <c r="M202" t="s">
        <v>31</v>
      </c>
      <c r="O202" s="42"/>
      <c r="P202" s="112"/>
    </row>
    <row r="203" spans="1:21" ht="15.75">
      <c r="A203" s="106" t="s">
        <v>792</v>
      </c>
      <c r="B203">
        <f>P203</f>
        <v>6.1</v>
      </c>
      <c r="C203" t="s">
        <v>37</v>
      </c>
      <c r="D203" s="17" t="s">
        <v>40</v>
      </c>
      <c r="E203" t="s">
        <v>29</v>
      </c>
      <c r="F203" s="104" t="s">
        <v>741</v>
      </c>
      <c r="G203" t="s">
        <v>33</v>
      </c>
      <c r="H203">
        <v>2</v>
      </c>
      <c r="I203">
        <f t="shared" ref="I203" si="18">LN(B203)</f>
        <v>1.8082887711792655</v>
      </c>
      <c r="J203">
        <v>7.2284161474004766E-2</v>
      </c>
      <c r="K203" t="s">
        <v>31</v>
      </c>
      <c r="L203" t="s">
        <v>31</v>
      </c>
      <c r="M203" t="s">
        <v>31</v>
      </c>
      <c r="O203" s="119" t="s">
        <v>221</v>
      </c>
      <c r="P203" s="120">
        <v>6.1</v>
      </c>
    </row>
    <row r="204" spans="1:21" ht="15.75">
      <c r="A204" s="47" t="s">
        <v>869</v>
      </c>
      <c r="B204" s="194">
        <f>R204</f>
        <v>2.9999999999999999E-7</v>
      </c>
      <c r="C204" t="s">
        <v>37</v>
      </c>
      <c r="D204" s="17" t="s">
        <v>40</v>
      </c>
      <c r="E204" t="s">
        <v>29</v>
      </c>
      <c r="F204" s="104" t="s">
        <v>58</v>
      </c>
      <c r="G204" t="s">
        <v>33</v>
      </c>
      <c r="H204">
        <v>2</v>
      </c>
      <c r="I204">
        <f>LN(B204)</f>
        <v>-15.01948336229021</v>
      </c>
      <c r="J204">
        <v>7.2284161474004766E-2</v>
      </c>
      <c r="K204" t="s">
        <v>31</v>
      </c>
      <c r="L204" t="s">
        <v>31</v>
      </c>
      <c r="M204" t="s">
        <v>31</v>
      </c>
      <c r="O204" s="152" t="s">
        <v>523</v>
      </c>
      <c r="P204" s="168">
        <v>0.3</v>
      </c>
      <c r="Q204" t="s">
        <v>221</v>
      </c>
      <c r="R204">
        <f>0.000001*P204</f>
        <v>2.9999999999999999E-7</v>
      </c>
    </row>
    <row r="205" spans="1:21" ht="15.75">
      <c r="A205" s="47" t="s">
        <v>226</v>
      </c>
      <c r="B205" s="194">
        <f>R205</f>
        <v>6.0999999999999995E-3</v>
      </c>
      <c r="C205" t="s">
        <v>42</v>
      </c>
      <c r="D205" s="17" t="s">
        <v>40</v>
      </c>
      <c r="E205" t="s">
        <v>29</v>
      </c>
      <c r="F205" s="104" t="s">
        <v>741</v>
      </c>
      <c r="G205" t="s">
        <v>33</v>
      </c>
      <c r="H205">
        <v>2</v>
      </c>
      <c r="I205">
        <f t="shared" ref="I205" si="19">LN(B205)</f>
        <v>-5.0994665078028714</v>
      </c>
      <c r="J205">
        <v>7.2284161474004766E-2</v>
      </c>
      <c r="K205" t="s">
        <v>31</v>
      </c>
      <c r="L205" t="s">
        <v>31</v>
      </c>
      <c r="M205" t="s">
        <v>31</v>
      </c>
      <c r="O205" s="154" t="s">
        <v>858</v>
      </c>
      <c r="P205" s="155">
        <v>6.1</v>
      </c>
      <c r="Q205" t="s">
        <v>219</v>
      </c>
      <c r="R205">
        <f>0.001*P205</f>
        <v>6.0999999999999995E-3</v>
      </c>
    </row>
    <row r="206" spans="1:21" s="41" customFormat="1" ht="15.75">
      <c r="A206" s="99" t="s">
        <v>5</v>
      </c>
      <c r="B206" s="108" t="s">
        <v>1959</v>
      </c>
      <c r="C206" s="39"/>
    </row>
    <row r="207" spans="1:21">
      <c r="A207" s="101" t="s">
        <v>7</v>
      </c>
      <c r="B207" t="s">
        <v>1807</v>
      </c>
      <c r="C207" s="102"/>
    </row>
    <row r="208" spans="1:21">
      <c r="A208" s="114" t="s">
        <v>9</v>
      </c>
      <c r="B208" t="s">
        <v>1960</v>
      </c>
      <c r="C208" s="102"/>
    </row>
    <row r="209" spans="1:19" ht="15.75" customHeight="1">
      <c r="A209" s="101" t="s">
        <v>11</v>
      </c>
      <c r="B209" s="103" t="s">
        <v>789</v>
      </c>
    </row>
    <row r="210" spans="1:19">
      <c r="A210" s="101" t="s">
        <v>13</v>
      </c>
      <c r="B210" t="s">
        <v>14</v>
      </c>
    </row>
    <row r="211" spans="1:19">
      <c r="A211" s="101" t="s">
        <v>15</v>
      </c>
      <c r="B211" s="115">
        <f>B216</f>
        <v>0.73</v>
      </c>
    </row>
    <row r="212" spans="1:19">
      <c r="A212" s="101" t="s">
        <v>16</v>
      </c>
      <c r="B212" t="s">
        <v>17</v>
      </c>
    </row>
    <row r="213" spans="1:19">
      <c r="A213" s="101" t="s">
        <v>18</v>
      </c>
      <c r="B213" t="s">
        <v>113</v>
      </c>
      <c r="S213" s="116"/>
    </row>
    <row r="214" spans="1:19" ht="15.75">
      <c r="A214" s="105" t="s">
        <v>19</v>
      </c>
    </row>
    <row r="215" spans="1:19" ht="15.75">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75">
      <c r="A216" t="s">
        <v>1959</v>
      </c>
      <c r="B216" s="116">
        <f>P216</f>
        <v>0.73</v>
      </c>
      <c r="C216" t="s">
        <v>113</v>
      </c>
      <c r="D216" s="111" t="s">
        <v>2</v>
      </c>
      <c r="E216" t="s">
        <v>29</v>
      </c>
      <c r="F216" t="s">
        <v>14</v>
      </c>
      <c r="G216" t="s">
        <v>30</v>
      </c>
      <c r="H216">
        <v>1</v>
      </c>
      <c r="I216" s="116">
        <f>B216</f>
        <v>0.73</v>
      </c>
      <c r="J216" t="s">
        <v>31</v>
      </c>
      <c r="K216" t="s">
        <v>31</v>
      </c>
      <c r="L216" t="s">
        <v>31</v>
      </c>
      <c r="M216" t="s">
        <v>31</v>
      </c>
      <c r="O216" s="119" t="s">
        <v>605</v>
      </c>
      <c r="P216" s="182">
        <v>0.73</v>
      </c>
    </row>
    <row r="217" spans="1:19" ht="15.75">
      <c r="A217" t="s">
        <v>1815</v>
      </c>
      <c r="B217" s="116">
        <v>4.3899999999999997</v>
      </c>
      <c r="C217" t="s">
        <v>37</v>
      </c>
      <c r="D217" s="111" t="s">
        <v>2</v>
      </c>
      <c r="E217" t="s">
        <v>29</v>
      </c>
      <c r="F217" t="s">
        <v>14</v>
      </c>
      <c r="G217" t="s">
        <v>33</v>
      </c>
      <c r="H217">
        <v>1</v>
      </c>
      <c r="I217" s="116">
        <f>B217</f>
        <v>4.3899999999999997</v>
      </c>
      <c r="J217" t="s">
        <v>31</v>
      </c>
      <c r="K217" t="s">
        <v>31</v>
      </c>
      <c r="L217" t="s">
        <v>31</v>
      </c>
      <c r="M217" t="s">
        <v>31</v>
      </c>
      <c r="O217" s="117"/>
      <c r="P217" s="182">
        <v>0.73</v>
      </c>
      <c r="Q217" t="s">
        <v>1961</v>
      </c>
    </row>
    <row r="218" spans="1:19" ht="15.75">
      <c r="A218" s="106" t="s">
        <v>38</v>
      </c>
      <c r="B218" s="113">
        <f>P218</f>
        <v>0.34</v>
      </c>
      <c r="C218" t="s">
        <v>39</v>
      </c>
      <c r="D218" s="17" t="s">
        <v>40</v>
      </c>
      <c r="E218" t="s">
        <v>29</v>
      </c>
      <c r="F218" s="104" t="s">
        <v>35</v>
      </c>
      <c r="G218" t="s">
        <v>33</v>
      </c>
      <c r="H218">
        <v>2</v>
      </c>
      <c r="I218">
        <f t="shared" ref="I218:I219" si="20">LN(B218)</f>
        <v>-1.0788096613719298</v>
      </c>
      <c r="J218">
        <v>7.2284161474004766E-2</v>
      </c>
      <c r="K218" t="s">
        <v>31</v>
      </c>
      <c r="L218" t="s">
        <v>31</v>
      </c>
      <c r="M218" t="s">
        <v>31</v>
      </c>
      <c r="O218" s="119" t="s">
        <v>216</v>
      </c>
      <c r="P218" s="120">
        <v>0.34</v>
      </c>
    </row>
    <row r="219" spans="1:19" ht="15.75">
      <c r="A219" s="47" t="s">
        <v>547</v>
      </c>
      <c r="B219">
        <f>R219</f>
        <v>8.0000000000000002E-3</v>
      </c>
      <c r="C219" s="116" t="s">
        <v>37</v>
      </c>
      <c r="D219" s="17" t="s">
        <v>40</v>
      </c>
      <c r="E219" t="s">
        <v>29</v>
      </c>
      <c r="F219" t="s">
        <v>58</v>
      </c>
      <c r="G219" t="s">
        <v>33</v>
      </c>
      <c r="H219">
        <v>2</v>
      </c>
      <c r="I219">
        <f t="shared" si="20"/>
        <v>-4.8283137373023015</v>
      </c>
      <c r="J219">
        <v>7.2284161474004766E-2</v>
      </c>
      <c r="K219" t="s">
        <v>31</v>
      </c>
      <c r="L219" t="s">
        <v>31</v>
      </c>
      <c r="M219" t="s">
        <v>31</v>
      </c>
      <c r="O219" s="119" t="s">
        <v>575</v>
      </c>
      <c r="P219" s="120">
        <v>8</v>
      </c>
      <c r="Q219" t="s">
        <v>221</v>
      </c>
      <c r="R219">
        <f>P219*0.001</f>
        <v>8.0000000000000002E-3</v>
      </c>
    </row>
    <row r="220" spans="1:19" ht="15.75">
      <c r="A220" s="61" t="s">
        <v>866</v>
      </c>
      <c r="B220">
        <f t="shared" ref="B220:B221" si="21">R220</f>
        <v>1.4999999999999999E-2</v>
      </c>
      <c r="C220" t="s">
        <v>37</v>
      </c>
      <c r="D220" s="17" t="s">
        <v>40</v>
      </c>
      <c r="E220" t="s">
        <v>29</v>
      </c>
      <c r="F220" s="104" t="s">
        <v>35</v>
      </c>
      <c r="G220" t="s">
        <v>33</v>
      </c>
      <c r="H220">
        <v>2</v>
      </c>
      <c r="I220">
        <f>LN(B220)</f>
        <v>-4.1997050778799272</v>
      </c>
      <c r="J220">
        <v>7.2284161474004766E-2</v>
      </c>
      <c r="K220" t="s">
        <v>31</v>
      </c>
      <c r="L220" t="s">
        <v>31</v>
      </c>
      <c r="M220" t="s">
        <v>31</v>
      </c>
      <c r="O220" s="119" t="s">
        <v>575</v>
      </c>
      <c r="P220" s="120">
        <v>15</v>
      </c>
      <c r="Q220" t="s">
        <v>221</v>
      </c>
      <c r="R220">
        <f>P220*0.001</f>
        <v>1.4999999999999999E-2</v>
      </c>
    </row>
    <row r="221" spans="1:19" ht="15.75">
      <c r="A221" s="106" t="s">
        <v>792</v>
      </c>
      <c r="B221">
        <f t="shared" si="21"/>
        <v>13</v>
      </c>
      <c r="C221" t="s">
        <v>37</v>
      </c>
      <c r="D221" s="17" t="s">
        <v>40</v>
      </c>
      <c r="E221" t="s">
        <v>29</v>
      </c>
      <c r="F221" s="104" t="s">
        <v>741</v>
      </c>
      <c r="G221" t="s">
        <v>33</v>
      </c>
      <c r="H221">
        <v>2</v>
      </c>
      <c r="I221">
        <f t="shared" ref="I221:I222" si="22">LN(B221)</f>
        <v>2.5649493574615367</v>
      </c>
      <c r="J221">
        <v>7.2284161474004766E-2</v>
      </c>
      <c r="K221" t="s">
        <v>31</v>
      </c>
      <c r="L221" t="s">
        <v>31</v>
      </c>
      <c r="M221" t="s">
        <v>31</v>
      </c>
      <c r="O221" s="119" t="s">
        <v>221</v>
      </c>
      <c r="P221" s="120">
        <v>13</v>
      </c>
      <c r="Q221" t="s">
        <v>221</v>
      </c>
      <c r="R221">
        <f>P221</f>
        <v>13</v>
      </c>
    </row>
    <row r="222" spans="1:19" ht="15.75">
      <c r="A222" s="47" t="s">
        <v>226</v>
      </c>
      <c r="B222">
        <f>R222</f>
        <v>1.3000000000000001E-2</v>
      </c>
      <c r="C222" t="s">
        <v>42</v>
      </c>
      <c r="D222" s="17" t="s">
        <v>40</v>
      </c>
      <c r="E222" t="s">
        <v>29</v>
      </c>
      <c r="F222" s="104" t="s">
        <v>741</v>
      </c>
      <c r="G222" t="s">
        <v>33</v>
      </c>
      <c r="H222">
        <v>2</v>
      </c>
      <c r="I222">
        <f t="shared" si="22"/>
        <v>-4.3428059215206005</v>
      </c>
      <c r="J222">
        <v>7.2284161474004766E-2</v>
      </c>
      <c r="K222" t="s">
        <v>31</v>
      </c>
      <c r="L222" t="s">
        <v>31</v>
      </c>
      <c r="M222" t="s">
        <v>31</v>
      </c>
      <c r="O222" s="154" t="s">
        <v>858</v>
      </c>
      <c r="P222" s="155">
        <v>13</v>
      </c>
      <c r="Q222" t="s">
        <v>219</v>
      </c>
      <c r="R222">
        <f>0.001*P222</f>
        <v>1.3000000000000001E-2</v>
      </c>
    </row>
    <row r="223" spans="1:19" s="41" customFormat="1" ht="15.75">
      <c r="A223" s="99" t="s">
        <v>5</v>
      </c>
      <c r="B223" s="185" t="s">
        <v>1952</v>
      </c>
      <c r="C223" s="39"/>
      <c r="P223"/>
    </row>
    <row r="224" spans="1:19">
      <c r="A224" s="101" t="s">
        <v>7</v>
      </c>
      <c r="B224" t="s">
        <v>1807</v>
      </c>
      <c r="C224" s="102"/>
    </row>
    <row r="225" spans="1:16">
      <c r="A225" s="114" t="s">
        <v>9</v>
      </c>
      <c r="B225" t="s">
        <v>1962</v>
      </c>
      <c r="C225" s="102"/>
    </row>
    <row r="226" spans="1:16" ht="15.75" customHeight="1">
      <c r="A226" s="101" t="s">
        <v>11</v>
      </c>
      <c r="B226" s="103" t="s">
        <v>789</v>
      </c>
    </row>
    <row r="227" spans="1:16">
      <c r="A227" s="101" t="s">
        <v>13</v>
      </c>
      <c r="B227" t="s">
        <v>14</v>
      </c>
    </row>
    <row r="228" spans="1:16">
      <c r="A228" s="101" t="s">
        <v>15</v>
      </c>
      <c r="B228" s="115">
        <f>B233</f>
        <v>2.1000000000000001E-2</v>
      </c>
    </row>
    <row r="229" spans="1:16">
      <c r="A229" s="101" t="s">
        <v>16</v>
      </c>
      <c r="B229" t="s">
        <v>17</v>
      </c>
    </row>
    <row r="230" spans="1:16">
      <c r="A230" s="101" t="s">
        <v>18</v>
      </c>
      <c r="B230" t="s">
        <v>113</v>
      </c>
    </row>
    <row r="231" spans="1:16" ht="15.75">
      <c r="A231" s="105" t="s">
        <v>19</v>
      </c>
    </row>
    <row r="232" spans="1:16" ht="15.75">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75">
      <c r="A233" t="s">
        <v>1952</v>
      </c>
      <c r="B233" s="116">
        <f>P233</f>
        <v>2.1000000000000001E-2</v>
      </c>
      <c r="C233" t="s">
        <v>113</v>
      </c>
      <c r="D233" s="111" t="s">
        <v>2</v>
      </c>
      <c r="E233" t="s">
        <v>29</v>
      </c>
      <c r="F233" s="104" t="s">
        <v>14</v>
      </c>
      <c r="G233" t="s">
        <v>30</v>
      </c>
      <c r="H233">
        <v>1</v>
      </c>
      <c r="I233" s="116">
        <f t="shared" ref="I233:I235" si="23">B233</f>
        <v>2.1000000000000001E-2</v>
      </c>
      <c r="J233" t="s">
        <v>31</v>
      </c>
      <c r="K233" t="s">
        <v>31</v>
      </c>
      <c r="L233" t="s">
        <v>31</v>
      </c>
      <c r="M233" t="s">
        <v>31</v>
      </c>
      <c r="O233" s="187" t="s">
        <v>817</v>
      </c>
      <c r="P233" s="184">
        <v>2.1000000000000001E-2</v>
      </c>
    </row>
    <row r="234" spans="1:16" ht="15.75">
      <c r="A234" t="s">
        <v>1963</v>
      </c>
      <c r="B234" s="116">
        <f>B254</f>
        <v>2.1000000000000001E-2</v>
      </c>
      <c r="C234" t="s">
        <v>113</v>
      </c>
      <c r="D234" s="111" t="s">
        <v>2</v>
      </c>
      <c r="E234" t="s">
        <v>29</v>
      </c>
      <c r="F234" s="104" t="s">
        <v>14</v>
      </c>
      <c r="G234" t="s">
        <v>33</v>
      </c>
      <c r="H234">
        <v>1</v>
      </c>
      <c r="I234" s="116">
        <f t="shared" si="23"/>
        <v>2.1000000000000001E-2</v>
      </c>
      <c r="J234" t="s">
        <v>31</v>
      </c>
      <c r="K234" t="s">
        <v>31</v>
      </c>
      <c r="L234" t="s">
        <v>31</v>
      </c>
      <c r="M234" t="s">
        <v>31</v>
      </c>
      <c r="O234" s="187" t="s">
        <v>817</v>
      </c>
      <c r="P234" s="188">
        <v>2.1000000000000001E-2</v>
      </c>
    </row>
    <row r="235" spans="1:16" ht="15.75">
      <c r="A235" t="s">
        <v>1964</v>
      </c>
      <c r="B235" s="116">
        <f>B242</f>
        <v>3.6700000000000005E-3</v>
      </c>
      <c r="C235" t="s">
        <v>113</v>
      </c>
      <c r="D235" s="111" t="s">
        <v>2</v>
      </c>
      <c r="E235" t="s">
        <v>29</v>
      </c>
      <c r="F235" s="104" t="s">
        <v>14</v>
      </c>
      <c r="G235" t="s">
        <v>33</v>
      </c>
      <c r="H235">
        <v>1</v>
      </c>
      <c r="I235" s="116">
        <f t="shared" si="23"/>
        <v>3.6700000000000005E-3</v>
      </c>
      <c r="J235" t="s">
        <v>31</v>
      </c>
      <c r="K235" t="s">
        <v>31</v>
      </c>
      <c r="L235" t="s">
        <v>31</v>
      </c>
      <c r="M235" t="s">
        <v>31</v>
      </c>
      <c r="O235" s="143" t="s">
        <v>817</v>
      </c>
      <c r="P235" s="184"/>
    </row>
    <row r="236" spans="1:16" ht="15.75">
      <c r="A236" s="106" t="s">
        <v>38</v>
      </c>
      <c r="B236" s="116">
        <f>P236</f>
        <v>0.51</v>
      </c>
      <c r="C236" t="s">
        <v>39</v>
      </c>
      <c r="D236" s="17" t="s">
        <v>40</v>
      </c>
      <c r="E236" t="s">
        <v>29</v>
      </c>
      <c r="F236" s="104" t="s">
        <v>35</v>
      </c>
      <c r="G236" t="s">
        <v>33</v>
      </c>
      <c r="H236">
        <v>2</v>
      </c>
      <c r="I236">
        <f t="shared" ref="I236" si="24">LN(B236)</f>
        <v>-0.67334455326376563</v>
      </c>
      <c r="J236">
        <v>0.20928449536456342</v>
      </c>
      <c r="K236" t="s">
        <v>31</v>
      </c>
      <c r="L236" t="s">
        <v>31</v>
      </c>
      <c r="M236" t="s">
        <v>31</v>
      </c>
      <c r="O236" s="119" t="s">
        <v>216</v>
      </c>
      <c r="P236" s="120">
        <v>0.51</v>
      </c>
    </row>
    <row r="237" spans="1:16" s="41" customFormat="1" ht="15.75">
      <c r="A237" s="99" t="s">
        <v>5</v>
      </c>
      <c r="B237" s="185" t="s">
        <v>1964</v>
      </c>
      <c r="C237" s="39"/>
    </row>
    <row r="238" spans="1:16">
      <c r="A238" s="101" t="s">
        <v>7</v>
      </c>
      <c r="B238" t="s">
        <v>1807</v>
      </c>
      <c r="C238" s="102"/>
    </row>
    <row r="239" spans="1:16">
      <c r="A239" s="114" t="s">
        <v>9</v>
      </c>
      <c r="B239" t="s">
        <v>1965</v>
      </c>
      <c r="C239" s="102"/>
    </row>
    <row r="240" spans="1:16" ht="15.75" customHeight="1">
      <c r="A240" s="101" t="s">
        <v>11</v>
      </c>
      <c r="B240" s="103" t="s">
        <v>789</v>
      </c>
    </row>
    <row r="241" spans="1:19">
      <c r="A241" s="101" t="s">
        <v>13</v>
      </c>
      <c r="B241" t="s">
        <v>14</v>
      </c>
    </row>
    <row r="242" spans="1:19">
      <c r="A242" s="101" t="s">
        <v>15</v>
      </c>
      <c r="B242" s="116">
        <f>B247</f>
        <v>3.6700000000000005E-3</v>
      </c>
    </row>
    <row r="243" spans="1:19">
      <c r="A243" s="101" t="s">
        <v>16</v>
      </c>
      <c r="B243" t="s">
        <v>17</v>
      </c>
    </row>
    <row r="244" spans="1:19">
      <c r="A244" s="101" t="s">
        <v>18</v>
      </c>
      <c r="B244" t="s">
        <v>113</v>
      </c>
    </row>
    <row r="245" spans="1:19" ht="15.75">
      <c r="A245" s="105" t="s">
        <v>19</v>
      </c>
    </row>
    <row r="246" spans="1:19" ht="15.75">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75">
      <c r="A247" t="s">
        <v>1964</v>
      </c>
      <c r="B247" s="116">
        <f>S247</f>
        <v>3.6700000000000005E-3</v>
      </c>
      <c r="C247" t="s">
        <v>113</v>
      </c>
      <c r="D247" s="111" t="s">
        <v>2</v>
      </c>
      <c r="E247" t="s">
        <v>29</v>
      </c>
      <c r="F247" s="104" t="s">
        <v>14</v>
      </c>
      <c r="G247" t="s">
        <v>30</v>
      </c>
      <c r="H247">
        <v>1</v>
      </c>
      <c r="I247" s="116">
        <f>B247</f>
        <v>3.6700000000000005E-3</v>
      </c>
      <c r="J247" t="s">
        <v>31</v>
      </c>
      <c r="K247" t="s">
        <v>31</v>
      </c>
      <c r="L247" t="s">
        <v>31</v>
      </c>
      <c r="M247" t="s">
        <v>31</v>
      </c>
      <c r="P247" s="119" t="s">
        <v>1120</v>
      </c>
      <c r="Q247" s="120">
        <v>36.700000000000003</v>
      </c>
      <c r="R247" t="s">
        <v>605</v>
      </c>
      <c r="S247">
        <f>Q247*0.0001</f>
        <v>3.6700000000000005E-3</v>
      </c>
    </row>
    <row r="248" spans="1:19">
      <c r="A248" s="47" t="s">
        <v>942</v>
      </c>
      <c r="B248" s="116">
        <f>S248</f>
        <v>3.6700000000000005E-3</v>
      </c>
      <c r="C248" t="s">
        <v>113</v>
      </c>
      <c r="D248" t="s">
        <v>40</v>
      </c>
      <c r="E248" t="s">
        <v>29</v>
      </c>
      <c r="F248" t="s">
        <v>58</v>
      </c>
      <c r="G248" t="s">
        <v>33</v>
      </c>
      <c r="H248">
        <v>2</v>
      </c>
      <c r="I248">
        <f>LN(B248)</f>
        <v>-5.607563616915658</v>
      </c>
      <c r="J248">
        <v>3.7749172176353707E-2</v>
      </c>
      <c r="K248" t="s">
        <v>31</v>
      </c>
      <c r="L248" t="s">
        <v>31</v>
      </c>
      <c r="M248" t="s">
        <v>31</v>
      </c>
      <c r="P248" s="143" t="s">
        <v>1120</v>
      </c>
      <c r="Q248" s="120">
        <v>36.700000000000003</v>
      </c>
      <c r="R248" t="s">
        <v>605</v>
      </c>
      <c r="S248">
        <f>Q248*0.0001</f>
        <v>3.6700000000000005E-3</v>
      </c>
    </row>
    <row r="249" spans="1:19" s="41" customFormat="1" ht="15.75">
      <c r="A249" s="99" t="s">
        <v>5</v>
      </c>
      <c r="B249" s="108" t="s">
        <v>1963</v>
      </c>
    </row>
    <row r="250" spans="1:19">
      <c r="A250" s="101" t="s">
        <v>7</v>
      </c>
      <c r="B250" t="s">
        <v>1807</v>
      </c>
      <c r="C250" s="102"/>
    </row>
    <row r="251" spans="1:19">
      <c r="A251" s="114" t="s">
        <v>9</v>
      </c>
      <c r="B251" t="s">
        <v>1966</v>
      </c>
      <c r="C251" s="102"/>
    </row>
    <row r="252" spans="1:19" ht="15.75" customHeight="1">
      <c r="A252" s="101" t="s">
        <v>11</v>
      </c>
      <c r="B252" s="103" t="s">
        <v>789</v>
      </c>
    </row>
    <row r="253" spans="1:19">
      <c r="A253" s="101" t="s">
        <v>13</v>
      </c>
      <c r="B253" t="s">
        <v>14</v>
      </c>
    </row>
    <row r="254" spans="1:19">
      <c r="A254" s="101" t="s">
        <v>15</v>
      </c>
      <c r="B254" s="116">
        <f>B259</f>
        <v>2.1000000000000001E-2</v>
      </c>
    </row>
    <row r="255" spans="1:19">
      <c r="A255" s="101" t="s">
        <v>16</v>
      </c>
      <c r="B255" t="s">
        <v>17</v>
      </c>
    </row>
    <row r="256" spans="1:19">
      <c r="A256" s="101" t="s">
        <v>18</v>
      </c>
      <c r="B256" t="s">
        <v>113</v>
      </c>
    </row>
    <row r="257" spans="1:18" ht="15.75">
      <c r="A257" s="105" t="s">
        <v>19</v>
      </c>
    </row>
    <row r="258" spans="1:18" ht="15.75">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75">
      <c r="A259" t="s">
        <v>1963</v>
      </c>
      <c r="B259" s="116">
        <f>B260</f>
        <v>2.1000000000000001E-2</v>
      </c>
      <c r="C259" t="s">
        <v>113</v>
      </c>
      <c r="D259" s="111" t="s">
        <v>2</v>
      </c>
      <c r="E259" t="s">
        <v>29</v>
      </c>
      <c r="F259" s="104" t="s">
        <v>14</v>
      </c>
      <c r="G259" t="s">
        <v>30</v>
      </c>
      <c r="H259">
        <v>1</v>
      </c>
      <c r="I259" s="116">
        <f t="shared" ref="I259:I260" si="25">B259</f>
        <v>2.1000000000000001E-2</v>
      </c>
      <c r="J259" t="s">
        <v>31</v>
      </c>
      <c r="K259" t="s">
        <v>31</v>
      </c>
      <c r="L259" t="s">
        <v>31</v>
      </c>
      <c r="M259" t="s">
        <v>31</v>
      </c>
    </row>
    <row r="260" spans="1:18" ht="15.75">
      <c r="A260" t="s">
        <v>1967</v>
      </c>
      <c r="B260" s="116">
        <f>P260</f>
        <v>2.1000000000000001E-2</v>
      </c>
      <c r="C260" t="s">
        <v>113</v>
      </c>
      <c r="D260" s="111" t="s">
        <v>2</v>
      </c>
      <c r="E260" t="s">
        <v>29</v>
      </c>
      <c r="F260" t="s">
        <v>14</v>
      </c>
      <c r="G260" t="s">
        <v>33</v>
      </c>
      <c r="H260">
        <v>1</v>
      </c>
      <c r="I260" s="116">
        <f t="shared" si="25"/>
        <v>2.1000000000000001E-2</v>
      </c>
      <c r="J260" t="s">
        <v>31</v>
      </c>
      <c r="K260" t="s">
        <v>31</v>
      </c>
      <c r="L260" t="s">
        <v>31</v>
      </c>
      <c r="M260" t="s">
        <v>31</v>
      </c>
      <c r="P260" s="195">
        <v>2.1000000000000001E-2</v>
      </c>
    </row>
    <row r="261" spans="1:18" ht="15.75">
      <c r="A261" s="106" t="s">
        <v>38</v>
      </c>
      <c r="B261" s="113">
        <f>R261</f>
        <v>0.19</v>
      </c>
      <c r="C261" t="s">
        <v>39</v>
      </c>
      <c r="D261" s="17" t="s">
        <v>40</v>
      </c>
      <c r="E261" t="s">
        <v>29</v>
      </c>
      <c r="F261" s="104" t="s">
        <v>35</v>
      </c>
      <c r="G261" t="s">
        <v>33</v>
      </c>
      <c r="H261">
        <v>2</v>
      </c>
      <c r="I261">
        <f t="shared" ref="I261:I265" si="26">LN(B261)</f>
        <v>-1.6607312068216509</v>
      </c>
      <c r="J261">
        <v>0.20928449536456342</v>
      </c>
      <c r="K261" t="s">
        <v>31</v>
      </c>
      <c r="L261" t="s">
        <v>31</v>
      </c>
      <c r="M261" t="s">
        <v>31</v>
      </c>
      <c r="O261" s="123" t="s">
        <v>216</v>
      </c>
      <c r="P261" s="120">
        <v>0.19</v>
      </c>
      <c r="Q261" t="s">
        <v>216</v>
      </c>
      <c r="R261" s="113">
        <f>P261</f>
        <v>0.19</v>
      </c>
    </row>
    <row r="262" spans="1:18" ht="15.75">
      <c r="A262" s="47" t="s">
        <v>791</v>
      </c>
      <c r="B262">
        <f>R262</f>
        <v>5.9000000000000007E-3</v>
      </c>
      <c r="C262" t="s">
        <v>37</v>
      </c>
      <c r="D262" s="17" t="s">
        <v>40</v>
      </c>
      <c r="E262" t="s">
        <v>29</v>
      </c>
      <c r="F262" s="104" t="s">
        <v>35</v>
      </c>
      <c r="G262" t="s">
        <v>33</v>
      </c>
      <c r="H262">
        <v>2</v>
      </c>
      <c r="I262">
        <f t="shared" si="26"/>
        <v>-5.132802928070463</v>
      </c>
      <c r="J262">
        <v>0.20928449536456342</v>
      </c>
      <c r="K262" t="s">
        <v>31</v>
      </c>
      <c r="L262" t="s">
        <v>31</v>
      </c>
      <c r="M262" t="s">
        <v>31</v>
      </c>
      <c r="O262" s="119" t="s">
        <v>575</v>
      </c>
      <c r="P262" s="120">
        <v>5.9</v>
      </c>
      <c r="Q262" t="s">
        <v>221</v>
      </c>
      <c r="R262">
        <f>0.001*P262</f>
        <v>5.9000000000000007E-3</v>
      </c>
    </row>
    <row r="263" spans="1:18" ht="15.75">
      <c r="A263" s="47" t="s">
        <v>546</v>
      </c>
      <c r="B263">
        <f>R263</f>
        <v>9.0000000000000008E-4</v>
      </c>
      <c r="C263" t="s">
        <v>37</v>
      </c>
      <c r="D263" s="17" t="s">
        <v>40</v>
      </c>
      <c r="E263" t="s">
        <v>29</v>
      </c>
      <c r="F263" s="104" t="s">
        <v>58</v>
      </c>
      <c r="G263" t="s">
        <v>33</v>
      </c>
      <c r="H263">
        <v>2</v>
      </c>
      <c r="I263">
        <f t="shared" si="26"/>
        <v>-7.0131157946399636</v>
      </c>
      <c r="J263">
        <v>0.20928449536456342</v>
      </c>
      <c r="K263" t="s">
        <v>31</v>
      </c>
      <c r="L263" t="s">
        <v>31</v>
      </c>
      <c r="M263" t="s">
        <v>31</v>
      </c>
      <c r="O263" s="119" t="s">
        <v>575</v>
      </c>
      <c r="P263" s="120">
        <v>0.9</v>
      </c>
      <c r="Q263" t="s">
        <v>221</v>
      </c>
      <c r="R263">
        <f>0.001*P263</f>
        <v>9.0000000000000008E-4</v>
      </c>
    </row>
    <row r="264" spans="1:18" ht="15.75">
      <c r="A264" s="106" t="s">
        <v>792</v>
      </c>
      <c r="B264">
        <f>R264</f>
        <v>2.9000000000000001E-2</v>
      </c>
      <c r="C264" t="s">
        <v>37</v>
      </c>
      <c r="D264" s="17" t="s">
        <v>40</v>
      </c>
      <c r="E264" t="s">
        <v>29</v>
      </c>
      <c r="F264" s="104" t="s">
        <v>741</v>
      </c>
      <c r="G264" t="s">
        <v>33</v>
      </c>
      <c r="H264">
        <v>2</v>
      </c>
      <c r="I264">
        <f t="shared" si="26"/>
        <v>-3.5404594489956631</v>
      </c>
      <c r="J264">
        <v>0.20928449536456342</v>
      </c>
      <c r="K264" t="s">
        <v>31</v>
      </c>
      <c r="L264" t="s">
        <v>31</v>
      </c>
      <c r="M264" t="s">
        <v>31</v>
      </c>
      <c r="O264" s="119" t="s">
        <v>575</v>
      </c>
      <c r="P264" s="120">
        <v>29</v>
      </c>
      <c r="Q264" t="s">
        <v>221</v>
      </c>
      <c r="R264">
        <f>0.001*P264</f>
        <v>2.9000000000000001E-2</v>
      </c>
    </row>
    <row r="265" spans="1:18" ht="15.75">
      <c r="A265" s="17" t="s">
        <v>1808</v>
      </c>
      <c r="B265">
        <f>R265</f>
        <v>6.7999999999999996E-3</v>
      </c>
      <c r="C265" t="s">
        <v>37</v>
      </c>
      <c r="D265" s="111" t="s">
        <v>2</v>
      </c>
      <c r="E265" t="s">
        <v>29</v>
      </c>
      <c r="F265" s="104" t="s">
        <v>741</v>
      </c>
      <c r="G265" t="s">
        <v>33</v>
      </c>
      <c r="H265">
        <v>2</v>
      </c>
      <c r="I265">
        <f t="shared" si="26"/>
        <v>-4.9908326668000758</v>
      </c>
      <c r="J265">
        <v>0.20928449536456342</v>
      </c>
      <c r="K265" t="s">
        <v>31</v>
      </c>
      <c r="L265" t="s">
        <v>31</v>
      </c>
      <c r="M265" t="s">
        <v>31</v>
      </c>
      <c r="O265" s="190" t="s">
        <v>575</v>
      </c>
      <c r="P265" s="155">
        <v>6.8</v>
      </c>
      <c r="Q265" t="s">
        <v>221</v>
      </c>
      <c r="R265">
        <f>0.001*P265</f>
        <v>6.7999999999999996E-3</v>
      </c>
    </row>
    <row r="266" spans="1:18" s="41" customFormat="1" ht="15.75">
      <c r="A266" s="99" t="s">
        <v>5</v>
      </c>
      <c r="B266" s="108" t="s">
        <v>1967</v>
      </c>
    </row>
    <row r="267" spans="1:18">
      <c r="A267" s="101" t="s">
        <v>7</v>
      </c>
      <c r="B267" t="s">
        <v>1807</v>
      </c>
      <c r="C267" s="102"/>
    </row>
    <row r="268" spans="1:18">
      <c r="A268" s="114" t="s">
        <v>9</v>
      </c>
      <c r="B268" t="s">
        <v>1968</v>
      </c>
      <c r="C268" s="102"/>
    </row>
    <row r="269" spans="1:18" ht="15.75" customHeight="1">
      <c r="A269" s="101" t="s">
        <v>11</v>
      </c>
      <c r="B269" s="103" t="s">
        <v>789</v>
      </c>
    </row>
    <row r="270" spans="1:18">
      <c r="A270" s="101" t="s">
        <v>13</v>
      </c>
      <c r="B270" t="s">
        <v>14</v>
      </c>
    </row>
    <row r="271" spans="1:18">
      <c r="A271" s="101" t="s">
        <v>15</v>
      </c>
      <c r="B271" s="116">
        <f>B276</f>
        <v>2.1000000000000001E-2</v>
      </c>
    </row>
    <row r="272" spans="1:18">
      <c r="A272" s="101" t="s">
        <v>16</v>
      </c>
      <c r="B272" t="s">
        <v>17</v>
      </c>
    </row>
    <row r="273" spans="1:18">
      <c r="A273" s="101" t="s">
        <v>18</v>
      </c>
      <c r="B273" t="s">
        <v>113</v>
      </c>
    </row>
    <row r="274" spans="1:18" ht="15.75">
      <c r="A274" s="105" t="s">
        <v>19</v>
      </c>
    </row>
    <row r="275" spans="1:18" ht="15.75">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75">
      <c r="A276" t="s">
        <v>1967</v>
      </c>
      <c r="B276" s="116">
        <f>P277</f>
        <v>2.1000000000000001E-2</v>
      </c>
      <c r="C276" t="s">
        <v>113</v>
      </c>
      <c r="D276" s="111" t="s">
        <v>2</v>
      </c>
      <c r="E276" t="s">
        <v>29</v>
      </c>
      <c r="F276" t="s">
        <v>14</v>
      </c>
      <c r="G276" t="s">
        <v>30</v>
      </c>
      <c r="H276">
        <v>1</v>
      </c>
      <c r="I276" s="116">
        <f t="shared" ref="I276:I277" si="27">B276</f>
        <v>2.1000000000000001E-2</v>
      </c>
      <c r="J276" t="s">
        <v>31</v>
      </c>
      <c r="K276" t="s">
        <v>31</v>
      </c>
      <c r="L276" t="s">
        <v>31</v>
      </c>
      <c r="M276" t="s">
        <v>31</v>
      </c>
    </row>
    <row r="277" spans="1:18" ht="15.75">
      <c r="A277" t="s">
        <v>1969</v>
      </c>
      <c r="B277" s="116">
        <f>P277</f>
        <v>2.1000000000000001E-2</v>
      </c>
      <c r="C277" t="s">
        <v>113</v>
      </c>
      <c r="D277" s="111" t="s">
        <v>2</v>
      </c>
      <c r="E277" t="s">
        <v>29</v>
      </c>
      <c r="F277" t="s">
        <v>14</v>
      </c>
      <c r="G277" t="s">
        <v>33</v>
      </c>
      <c r="H277">
        <v>1</v>
      </c>
      <c r="I277" s="116">
        <f t="shared" si="27"/>
        <v>2.1000000000000001E-2</v>
      </c>
      <c r="J277" t="s">
        <v>31</v>
      </c>
      <c r="K277" t="s">
        <v>31</v>
      </c>
      <c r="L277" t="s">
        <v>31</v>
      </c>
      <c r="M277" t="s">
        <v>31</v>
      </c>
      <c r="P277" s="184">
        <v>2.1000000000000001E-2</v>
      </c>
    </row>
    <row r="278" spans="1:18" ht="15.75">
      <c r="A278" s="106" t="s">
        <v>38</v>
      </c>
      <c r="B278" s="113">
        <f>P278</f>
        <v>4.08</v>
      </c>
      <c r="C278" t="s">
        <v>39</v>
      </c>
      <c r="D278" s="17" t="s">
        <v>40</v>
      </c>
      <c r="E278" t="s">
        <v>29</v>
      </c>
      <c r="F278" s="104" t="s">
        <v>35</v>
      </c>
      <c r="G278" t="s">
        <v>33</v>
      </c>
      <c r="H278">
        <v>2</v>
      </c>
      <c r="I278">
        <f t="shared" ref="I278:I279" si="28">LN(B278)</f>
        <v>1.4060969884160703</v>
      </c>
      <c r="J278">
        <v>0.20928449536456342</v>
      </c>
      <c r="K278" t="s">
        <v>31</v>
      </c>
      <c r="L278" t="s">
        <v>31</v>
      </c>
      <c r="M278" t="s">
        <v>31</v>
      </c>
      <c r="O278" s="119" t="s">
        <v>216</v>
      </c>
      <c r="P278" s="120">
        <f>2.81+1.27</f>
        <v>4.08</v>
      </c>
    </row>
    <row r="279" spans="1:18" ht="15.75">
      <c r="A279" s="106" t="s">
        <v>792</v>
      </c>
      <c r="B279" s="113">
        <f>R279</f>
        <v>8.0999999999999996E-3</v>
      </c>
      <c r="C279" t="s">
        <v>37</v>
      </c>
      <c r="D279" s="17" t="s">
        <v>40</v>
      </c>
      <c r="E279" t="s">
        <v>29</v>
      </c>
      <c r="F279" s="104" t="s">
        <v>741</v>
      </c>
      <c r="G279" t="s">
        <v>33</v>
      </c>
      <c r="H279">
        <v>2</v>
      </c>
      <c r="I279">
        <f t="shared" si="28"/>
        <v>-4.8158912173037436</v>
      </c>
      <c r="J279">
        <v>0.20928449536456342</v>
      </c>
      <c r="K279" t="s">
        <v>31</v>
      </c>
      <c r="L279" t="s">
        <v>31</v>
      </c>
      <c r="M279" t="s">
        <v>31</v>
      </c>
      <c r="O279" s="119" t="s">
        <v>575</v>
      </c>
      <c r="P279" s="120">
        <v>8.1</v>
      </c>
      <c r="Q279" t="s">
        <v>221</v>
      </c>
      <c r="R279">
        <f>P279*0.001</f>
        <v>8.0999999999999996E-3</v>
      </c>
    </row>
    <row r="280" spans="1:18">
      <c r="A280" s="47" t="s">
        <v>530</v>
      </c>
      <c r="B280" s="113">
        <f>R280</f>
        <v>0.01</v>
      </c>
      <c r="C280" t="s">
        <v>37</v>
      </c>
      <c r="D280" t="s">
        <v>40</v>
      </c>
      <c r="E280" t="s">
        <v>29</v>
      </c>
      <c r="F280" t="s">
        <v>35</v>
      </c>
      <c r="G280" t="s">
        <v>33</v>
      </c>
      <c r="H280">
        <v>2</v>
      </c>
      <c r="I280">
        <f>LN(B280)</f>
        <v>-4.6051701859880909</v>
      </c>
      <c r="J280">
        <v>0.20928449536456342</v>
      </c>
      <c r="K280" t="s">
        <v>31</v>
      </c>
      <c r="L280" t="s">
        <v>31</v>
      </c>
      <c r="M280" t="s">
        <v>31</v>
      </c>
      <c r="O280" s="119" t="s">
        <v>575</v>
      </c>
      <c r="P280" s="120">
        <v>10</v>
      </c>
      <c r="Q280" t="s">
        <v>221</v>
      </c>
      <c r="R280">
        <f>P280*0.001</f>
        <v>0.01</v>
      </c>
    </row>
    <row r="281" spans="1:18" ht="15.75">
      <c r="A281" s="17" t="s">
        <v>1808</v>
      </c>
      <c r="B281" s="113">
        <f>R281</f>
        <v>0.01</v>
      </c>
      <c r="C281" t="s">
        <v>37</v>
      </c>
      <c r="D281" s="111" t="s">
        <v>2</v>
      </c>
      <c r="E281" t="s">
        <v>29</v>
      </c>
      <c r="F281" s="104" t="s">
        <v>741</v>
      </c>
      <c r="G281" t="s">
        <v>33</v>
      </c>
      <c r="H281">
        <v>2</v>
      </c>
      <c r="I281">
        <f t="shared" ref="I281" si="29">LN(B281)</f>
        <v>-4.6051701859880909</v>
      </c>
      <c r="J281">
        <v>0.20928449536456342</v>
      </c>
      <c r="K281" t="s">
        <v>31</v>
      </c>
      <c r="L281" t="s">
        <v>31</v>
      </c>
      <c r="M281" t="s">
        <v>31</v>
      </c>
      <c r="O281" s="190" t="s">
        <v>575</v>
      </c>
      <c r="P281" s="155">
        <v>10</v>
      </c>
      <c r="Q281" t="s">
        <v>221</v>
      </c>
      <c r="R281">
        <f>0.001*P281</f>
        <v>0.01</v>
      </c>
    </row>
    <row r="282" spans="1:18" s="41" customFormat="1" ht="15.75">
      <c r="A282" s="99" t="s">
        <v>5</v>
      </c>
      <c r="B282" s="108" t="s">
        <v>1969</v>
      </c>
    </row>
    <row r="283" spans="1:18">
      <c r="A283" s="101" t="s">
        <v>7</v>
      </c>
      <c r="B283" t="s">
        <v>1807</v>
      </c>
      <c r="C283" s="102"/>
    </row>
    <row r="284" spans="1:18">
      <c r="A284" s="114" t="s">
        <v>9</v>
      </c>
      <c r="B284" t="s">
        <v>1970</v>
      </c>
      <c r="C284" s="102"/>
    </row>
    <row r="285" spans="1:18" ht="15.75" customHeight="1">
      <c r="A285" s="101" t="s">
        <v>11</v>
      </c>
      <c r="B285" s="103" t="s">
        <v>789</v>
      </c>
    </row>
    <row r="286" spans="1:18">
      <c r="A286" s="101" t="s">
        <v>13</v>
      </c>
      <c r="B286" t="s">
        <v>14</v>
      </c>
    </row>
    <row r="287" spans="1:18">
      <c r="A287" s="101" t="s">
        <v>15</v>
      </c>
      <c r="B287" s="116">
        <f>B292</f>
        <v>0.04</v>
      </c>
    </row>
    <row r="288" spans="1:18">
      <c r="A288" s="101" t="s">
        <v>16</v>
      </c>
      <c r="B288" t="s">
        <v>17</v>
      </c>
      <c r="R288" s="159" t="s">
        <v>880</v>
      </c>
    </row>
    <row r="289" spans="1:21">
      <c r="A289" s="101" t="s">
        <v>18</v>
      </c>
      <c r="B289" t="s">
        <v>113</v>
      </c>
      <c r="R289" t="s">
        <v>881</v>
      </c>
      <c r="S289">
        <v>8900</v>
      </c>
      <c r="T289" t="s">
        <v>882</v>
      </c>
    </row>
    <row r="290" spans="1:21" ht="15.75">
      <c r="A290" s="105" t="s">
        <v>19</v>
      </c>
      <c r="R290" t="s">
        <v>883</v>
      </c>
      <c r="S290">
        <f>5*10^-6</f>
        <v>4.9999999999999996E-6</v>
      </c>
      <c r="T290" t="s">
        <v>884</v>
      </c>
    </row>
    <row r="291" spans="1:21" ht="15.75">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62" t="s">
        <v>885</v>
      </c>
      <c r="S291" s="163">
        <v>0.46</v>
      </c>
      <c r="T291" s="164" t="s">
        <v>886</v>
      </c>
    </row>
    <row r="292" spans="1:21" ht="15.75">
      <c r="A292" t="s">
        <v>1969</v>
      </c>
      <c r="B292" s="116">
        <v>0.04</v>
      </c>
      <c r="C292" t="s">
        <v>113</v>
      </c>
      <c r="D292" s="111" t="s">
        <v>2</v>
      </c>
      <c r="E292" t="s">
        <v>29</v>
      </c>
      <c r="F292" t="s">
        <v>14</v>
      </c>
      <c r="G292" t="s">
        <v>30</v>
      </c>
      <c r="H292">
        <v>1</v>
      </c>
      <c r="I292" s="116">
        <f t="shared" ref="I292:I294" si="30">B292</f>
        <v>0.04</v>
      </c>
      <c r="J292" t="s">
        <v>31</v>
      </c>
      <c r="K292" t="s">
        <v>31</v>
      </c>
      <c r="L292" t="s">
        <v>31</v>
      </c>
      <c r="M292" t="s">
        <v>31</v>
      </c>
      <c r="O292" s="119" t="s">
        <v>887</v>
      </c>
      <c r="P292" s="120">
        <f>B292*100</f>
        <v>4</v>
      </c>
    </row>
    <row r="293" spans="1:21" ht="15.75">
      <c r="A293" t="s">
        <v>1971</v>
      </c>
      <c r="B293" s="116">
        <v>0.04</v>
      </c>
      <c r="C293" t="s">
        <v>113</v>
      </c>
      <c r="D293" s="111" t="s">
        <v>2</v>
      </c>
      <c r="E293" t="s">
        <v>29</v>
      </c>
      <c r="F293" t="s">
        <v>14</v>
      </c>
      <c r="G293" t="s">
        <v>33</v>
      </c>
      <c r="H293">
        <v>1</v>
      </c>
      <c r="I293" s="116">
        <f t="shared" si="30"/>
        <v>0.04</v>
      </c>
      <c r="J293">
        <v>7.2284161474004766E-2</v>
      </c>
      <c r="K293" t="s">
        <v>31</v>
      </c>
      <c r="L293" t="s">
        <v>31</v>
      </c>
      <c r="M293" t="s">
        <v>31</v>
      </c>
      <c r="O293" s="119" t="s">
        <v>887</v>
      </c>
      <c r="P293" s="120">
        <f>B293*100</f>
        <v>4</v>
      </c>
      <c r="R293" t="s">
        <v>548</v>
      </c>
      <c r="U293" s="150"/>
    </row>
    <row r="294" spans="1:21" ht="15.75">
      <c r="A294" s="42" t="s">
        <v>1918</v>
      </c>
      <c r="B294" s="157">
        <f>R294</f>
        <v>0.76</v>
      </c>
      <c r="C294" t="s">
        <v>37</v>
      </c>
      <c r="D294" s="111" t="s">
        <v>2</v>
      </c>
      <c r="E294" t="s">
        <v>29</v>
      </c>
      <c r="F294" s="104" t="s">
        <v>14</v>
      </c>
      <c r="G294" t="s">
        <v>33</v>
      </c>
      <c r="H294">
        <v>1</v>
      </c>
      <c r="I294" s="116">
        <f t="shared" si="30"/>
        <v>0.76</v>
      </c>
      <c r="J294">
        <v>7.2284161474004766E-2</v>
      </c>
      <c r="K294" t="s">
        <v>31</v>
      </c>
      <c r="L294" t="s">
        <v>31</v>
      </c>
      <c r="M294" t="s">
        <v>31</v>
      </c>
      <c r="O294" s="117"/>
      <c r="P294" s="118"/>
      <c r="R294" s="166">
        <v>0.76</v>
      </c>
      <c r="S294" s="167" t="s">
        <v>605</v>
      </c>
      <c r="T294" s="166">
        <f>R294*S291</f>
        <v>0.34960000000000002</v>
      </c>
      <c r="U294" s="167" t="s">
        <v>221</v>
      </c>
    </row>
    <row r="295" spans="1:21" ht="15.75">
      <c r="A295" s="106" t="s">
        <v>792</v>
      </c>
      <c r="B295">
        <f>P295</f>
        <v>6.1</v>
      </c>
      <c r="C295" t="s">
        <v>37</v>
      </c>
      <c r="D295" s="17" t="s">
        <v>40</v>
      </c>
      <c r="E295" t="s">
        <v>29</v>
      </c>
      <c r="F295" s="104" t="s">
        <v>741</v>
      </c>
      <c r="G295" t="s">
        <v>33</v>
      </c>
      <c r="H295">
        <v>2</v>
      </c>
      <c r="I295">
        <f t="shared" ref="I295" si="31">LN(B295)</f>
        <v>1.8082887711792655</v>
      </c>
      <c r="J295">
        <v>7.2284161474004766E-2</v>
      </c>
      <c r="K295" t="s">
        <v>31</v>
      </c>
      <c r="L295" t="s">
        <v>31</v>
      </c>
      <c r="M295" t="s">
        <v>31</v>
      </c>
      <c r="O295" s="119" t="s">
        <v>221</v>
      </c>
      <c r="P295" s="120">
        <v>6.1</v>
      </c>
    </row>
    <row r="296" spans="1:21" ht="15.75">
      <c r="A296" s="47" t="s">
        <v>869</v>
      </c>
      <c r="B296" s="113">
        <f>R296</f>
        <v>2.9999999999999999E-7</v>
      </c>
      <c r="C296" t="s">
        <v>37</v>
      </c>
      <c r="D296" s="17" t="s">
        <v>40</v>
      </c>
      <c r="E296" t="s">
        <v>29</v>
      </c>
      <c r="F296" s="104" t="s">
        <v>58</v>
      </c>
      <c r="G296" t="s">
        <v>33</v>
      </c>
      <c r="H296">
        <v>2</v>
      </c>
      <c r="I296">
        <f>LN(B296)</f>
        <v>-15.01948336229021</v>
      </c>
      <c r="J296">
        <v>7.2284161474004766E-2</v>
      </c>
      <c r="K296" t="s">
        <v>31</v>
      </c>
      <c r="L296" t="s">
        <v>31</v>
      </c>
      <c r="M296" t="s">
        <v>31</v>
      </c>
      <c r="O296" s="152" t="s">
        <v>523</v>
      </c>
      <c r="P296" s="168">
        <v>0.3</v>
      </c>
      <c r="Q296" s="119" t="s">
        <v>221</v>
      </c>
      <c r="R296">
        <f>P296*0.000001</f>
        <v>2.9999999999999999E-7</v>
      </c>
    </row>
    <row r="297" spans="1:21" ht="15.75">
      <c r="A297" s="47" t="s">
        <v>226</v>
      </c>
      <c r="B297">
        <f>R297</f>
        <v>6.0999999999999995E-3</v>
      </c>
      <c r="C297" t="s">
        <v>42</v>
      </c>
      <c r="D297" s="17" t="s">
        <v>40</v>
      </c>
      <c r="E297" t="s">
        <v>29</v>
      </c>
      <c r="F297" s="104" t="s">
        <v>741</v>
      </c>
      <c r="G297" t="s">
        <v>33</v>
      </c>
      <c r="H297">
        <v>2</v>
      </c>
      <c r="I297">
        <f t="shared" ref="I297" si="32">LN(B297)</f>
        <v>-5.0994665078028714</v>
      </c>
      <c r="J297">
        <v>7.2284161474004766E-2</v>
      </c>
      <c r="K297" t="s">
        <v>31</v>
      </c>
      <c r="L297" t="s">
        <v>31</v>
      </c>
      <c r="M297" t="s">
        <v>31</v>
      </c>
      <c r="O297" s="154" t="s">
        <v>858</v>
      </c>
      <c r="P297" s="155">
        <v>6.1</v>
      </c>
      <c r="Q297" t="s">
        <v>219</v>
      </c>
      <c r="R297">
        <f>P297*0.001</f>
        <v>6.0999999999999995E-3</v>
      </c>
    </row>
    <row r="298" spans="1:21" s="41" customFormat="1" ht="15.75">
      <c r="A298" s="99" t="s">
        <v>5</v>
      </c>
      <c r="B298" s="108" t="s">
        <v>1971</v>
      </c>
    </row>
    <row r="299" spans="1:21">
      <c r="A299" s="101" t="s">
        <v>7</v>
      </c>
      <c r="B299" t="s">
        <v>1807</v>
      </c>
      <c r="C299" s="102"/>
    </row>
    <row r="300" spans="1:21">
      <c r="A300" s="114" t="s">
        <v>9</v>
      </c>
      <c r="B300" t="s">
        <v>1972</v>
      </c>
      <c r="C300" s="102"/>
    </row>
    <row r="301" spans="1:21" ht="15.75" customHeight="1">
      <c r="A301" s="101" t="s">
        <v>11</v>
      </c>
      <c r="B301" s="103" t="s">
        <v>789</v>
      </c>
    </row>
    <row r="302" spans="1:21">
      <c r="A302" s="101" t="s">
        <v>13</v>
      </c>
      <c r="B302" t="s">
        <v>14</v>
      </c>
    </row>
    <row r="303" spans="1:21">
      <c r="A303" s="101" t="s">
        <v>15</v>
      </c>
      <c r="B303" s="116">
        <f>B308</f>
        <v>2.1000000000000001E-2</v>
      </c>
    </row>
    <row r="304" spans="1:21">
      <c r="A304" s="101" t="s">
        <v>16</v>
      </c>
      <c r="B304" t="s">
        <v>17</v>
      </c>
    </row>
    <row r="305" spans="1:20">
      <c r="A305" s="101" t="s">
        <v>18</v>
      </c>
      <c r="B305" t="s">
        <v>113</v>
      </c>
    </row>
    <row r="306" spans="1:20" ht="15.75">
      <c r="A306" s="105" t="s">
        <v>19</v>
      </c>
    </row>
    <row r="307" spans="1:20" ht="15.75">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6"/>
    </row>
    <row r="308" spans="1:20" ht="15.75">
      <c r="A308" t="s">
        <v>1971</v>
      </c>
      <c r="B308" s="116">
        <f t="shared" ref="B308:B318" si="33">P308</f>
        <v>2.1000000000000001E-2</v>
      </c>
      <c r="C308" t="s">
        <v>113</v>
      </c>
      <c r="D308" s="111" t="s">
        <v>2</v>
      </c>
      <c r="E308" t="s">
        <v>29</v>
      </c>
      <c r="F308" t="s">
        <v>14</v>
      </c>
      <c r="G308" t="s">
        <v>30</v>
      </c>
      <c r="H308">
        <v>1</v>
      </c>
      <c r="I308" s="116">
        <f t="shared" ref="I308:I309" si="34">B308</f>
        <v>2.1000000000000001E-2</v>
      </c>
      <c r="J308" t="s">
        <v>31</v>
      </c>
      <c r="K308" t="s">
        <v>31</v>
      </c>
      <c r="L308" t="s">
        <v>31</v>
      </c>
      <c r="M308" t="s">
        <v>31</v>
      </c>
      <c r="P308" s="189">
        <v>2.1000000000000001E-2</v>
      </c>
    </row>
    <row r="309" spans="1:20" ht="15.75">
      <c r="A309" t="s">
        <v>1973</v>
      </c>
      <c r="B309" s="116">
        <f t="shared" si="33"/>
        <v>2.1000000000000001E-2</v>
      </c>
      <c r="C309" t="s">
        <v>113</v>
      </c>
      <c r="D309" s="111" t="s">
        <v>2</v>
      </c>
      <c r="E309" t="s">
        <v>29</v>
      </c>
      <c r="F309" t="s">
        <v>14</v>
      </c>
      <c r="G309" t="s">
        <v>33</v>
      </c>
      <c r="H309">
        <v>1</v>
      </c>
      <c r="I309" s="116">
        <f t="shared" si="34"/>
        <v>2.1000000000000001E-2</v>
      </c>
      <c r="J309" t="s">
        <v>31</v>
      </c>
      <c r="K309" t="s">
        <v>31</v>
      </c>
      <c r="L309" t="s">
        <v>31</v>
      </c>
      <c r="M309" t="s">
        <v>31</v>
      </c>
      <c r="P309" s="189">
        <v>2.1000000000000001E-2</v>
      </c>
    </row>
    <row r="310" spans="1:20" ht="15.75">
      <c r="A310" s="106" t="s">
        <v>38</v>
      </c>
      <c r="B310" s="113">
        <f t="shared" si="33"/>
        <v>0.28000000000000003</v>
      </c>
      <c r="C310" t="s">
        <v>39</v>
      </c>
      <c r="D310" s="17" t="s">
        <v>40</v>
      </c>
      <c r="E310" t="s">
        <v>29</v>
      </c>
      <c r="F310" s="104" t="s">
        <v>35</v>
      </c>
      <c r="G310" t="s">
        <v>33</v>
      </c>
      <c r="H310">
        <v>2</v>
      </c>
      <c r="I310">
        <f t="shared" ref="I310" si="35">LN(B310)</f>
        <v>-1.2729656758128873</v>
      </c>
      <c r="J310">
        <v>0.22500000000000006</v>
      </c>
      <c r="K310" t="s">
        <v>31</v>
      </c>
      <c r="L310" t="s">
        <v>31</v>
      </c>
      <c r="M310" t="s">
        <v>31</v>
      </c>
      <c r="O310" s="119" t="s">
        <v>216</v>
      </c>
      <c r="P310" s="120">
        <v>0.28000000000000003</v>
      </c>
    </row>
    <row r="311" spans="1:20">
      <c r="A311" s="47" t="s">
        <v>683</v>
      </c>
      <c r="B311" s="116">
        <f t="shared" si="33"/>
        <v>1.2699999999999999E-2</v>
      </c>
      <c r="C311" t="s">
        <v>37</v>
      </c>
      <c r="D311" t="s">
        <v>40</v>
      </c>
      <c r="E311" t="s">
        <v>29</v>
      </c>
      <c r="F311" t="s">
        <v>35</v>
      </c>
      <c r="G311" t="s">
        <v>33</v>
      </c>
      <c r="H311">
        <v>2</v>
      </c>
      <c r="I311">
        <f>LN(B311)</f>
        <v>-4.3661532855175915</v>
      </c>
      <c r="J311">
        <v>0.22500000000000006</v>
      </c>
      <c r="K311" t="s">
        <v>31</v>
      </c>
      <c r="L311" t="s">
        <v>31</v>
      </c>
      <c r="M311" t="s">
        <v>31</v>
      </c>
      <c r="O311" s="119" t="s">
        <v>221</v>
      </c>
      <c r="P311" s="175">
        <v>1.2699999999999999E-2</v>
      </c>
    </row>
    <row r="312" spans="1:20">
      <c r="A312" t="s">
        <v>952</v>
      </c>
      <c r="B312" s="116">
        <f t="shared" si="33"/>
        <v>2.76E-2</v>
      </c>
      <c r="C312" t="s">
        <v>37</v>
      </c>
      <c r="D312" t="s">
        <v>40</v>
      </c>
      <c r="E312" t="s">
        <v>29</v>
      </c>
      <c r="F312" t="s">
        <v>58</v>
      </c>
      <c r="G312" t="s">
        <v>33</v>
      </c>
      <c r="H312">
        <v>2</v>
      </c>
      <c r="I312">
        <f t="shared" ref="I312:I318" si="36">LN(B312)</f>
        <v>-3.5899395062590327</v>
      </c>
      <c r="J312">
        <v>0.22500000000000006</v>
      </c>
      <c r="K312" t="s">
        <v>31</v>
      </c>
      <c r="L312" t="s">
        <v>31</v>
      </c>
      <c r="M312" t="s">
        <v>31</v>
      </c>
      <c r="O312" s="119" t="s">
        <v>221</v>
      </c>
      <c r="P312" s="175">
        <v>2.76E-2</v>
      </c>
    </row>
    <row r="313" spans="1:20">
      <c r="A313" s="47" t="s">
        <v>530</v>
      </c>
      <c r="B313" s="116">
        <f t="shared" si="33"/>
        <v>1.2699999999999999E-2</v>
      </c>
      <c r="C313" t="s">
        <v>37</v>
      </c>
      <c r="D313" t="s">
        <v>40</v>
      </c>
      <c r="E313" t="s">
        <v>29</v>
      </c>
      <c r="F313" t="s">
        <v>35</v>
      </c>
      <c r="G313" t="s">
        <v>33</v>
      </c>
      <c r="H313">
        <v>2</v>
      </c>
      <c r="I313">
        <f t="shared" si="36"/>
        <v>-4.3661532855175915</v>
      </c>
      <c r="J313">
        <v>0.22500000000000006</v>
      </c>
      <c r="K313" t="s">
        <v>31</v>
      </c>
      <c r="L313" t="s">
        <v>31</v>
      </c>
      <c r="M313" t="s">
        <v>31</v>
      </c>
      <c r="O313" s="119" t="s">
        <v>221</v>
      </c>
      <c r="P313" s="175">
        <v>1.2699999999999999E-2</v>
      </c>
    </row>
    <row r="314" spans="1:20">
      <c r="A314" s="47" t="s">
        <v>953</v>
      </c>
      <c r="B314" s="116">
        <f t="shared" si="33"/>
        <v>9.4999999999999998E-3</v>
      </c>
      <c r="C314" t="s">
        <v>37</v>
      </c>
      <c r="D314" t="s">
        <v>40</v>
      </c>
      <c r="E314" t="s">
        <v>29</v>
      </c>
      <c r="F314" t="s">
        <v>58</v>
      </c>
      <c r="G314" t="s">
        <v>33</v>
      </c>
      <c r="H314">
        <v>2</v>
      </c>
      <c r="I314">
        <f t="shared" si="36"/>
        <v>-4.656463480375642</v>
      </c>
      <c r="J314">
        <v>0.22500000000000006</v>
      </c>
      <c r="K314" t="s">
        <v>31</v>
      </c>
      <c r="L314" t="s">
        <v>31</v>
      </c>
      <c r="M314" t="s">
        <v>31</v>
      </c>
      <c r="O314" s="119" t="s">
        <v>221</v>
      </c>
      <c r="P314" s="175">
        <v>9.4999999999999998E-3</v>
      </c>
    </row>
    <row r="315" spans="1:20">
      <c r="A315" s="47" t="s">
        <v>954</v>
      </c>
      <c r="B315" s="116">
        <f t="shared" si="33"/>
        <v>2.76E-2</v>
      </c>
      <c r="C315" t="s">
        <v>37</v>
      </c>
      <c r="D315" t="s">
        <v>40</v>
      </c>
      <c r="E315" t="s">
        <v>29</v>
      </c>
      <c r="F315" t="s">
        <v>58</v>
      </c>
      <c r="G315" t="s">
        <v>33</v>
      </c>
      <c r="H315">
        <v>2</v>
      </c>
      <c r="I315">
        <f t="shared" si="36"/>
        <v>-3.5899395062590327</v>
      </c>
      <c r="J315">
        <v>0.22500000000000006</v>
      </c>
      <c r="K315" t="s">
        <v>31</v>
      </c>
      <c r="L315" t="s">
        <v>31</v>
      </c>
      <c r="M315" t="s">
        <v>31</v>
      </c>
      <c r="O315" s="119" t="s">
        <v>221</v>
      </c>
      <c r="P315" s="175">
        <v>2.76E-2</v>
      </c>
    </row>
    <row r="316" spans="1:20" ht="15.75">
      <c r="A316" s="106" t="s">
        <v>792</v>
      </c>
      <c r="B316" s="116">
        <f t="shared" si="33"/>
        <v>0.50900000000000001</v>
      </c>
      <c r="C316" t="s">
        <v>37</v>
      </c>
      <c r="D316" s="17" t="s">
        <v>40</v>
      </c>
      <c r="E316" t="s">
        <v>29</v>
      </c>
      <c r="F316" s="104" t="s">
        <v>741</v>
      </c>
      <c r="G316" t="s">
        <v>33</v>
      </c>
      <c r="H316">
        <v>2</v>
      </c>
      <c r="I316">
        <f t="shared" si="36"/>
        <v>-0.67530726243161432</v>
      </c>
      <c r="J316">
        <v>0.22500000000000006</v>
      </c>
      <c r="K316" t="s">
        <v>31</v>
      </c>
      <c r="L316" t="s">
        <v>31</v>
      </c>
      <c r="M316" t="s">
        <v>31</v>
      </c>
      <c r="O316" s="119" t="s">
        <v>221</v>
      </c>
      <c r="P316" s="175">
        <v>0.50900000000000001</v>
      </c>
    </row>
    <row r="317" spans="1:20">
      <c r="A317" s="47" t="s">
        <v>760</v>
      </c>
      <c r="B317" s="116">
        <f t="shared" si="33"/>
        <v>4.8999999999999998E-3</v>
      </c>
      <c r="C317" t="s">
        <v>37</v>
      </c>
      <c r="D317" t="s">
        <v>43</v>
      </c>
      <c r="E317" t="s">
        <v>44</v>
      </c>
      <c r="F317" t="s">
        <v>29</v>
      </c>
      <c r="G317" t="s">
        <v>45</v>
      </c>
      <c r="H317">
        <v>2</v>
      </c>
      <c r="I317">
        <f t="shared" si="36"/>
        <v>-5.3185200738655558</v>
      </c>
      <c r="J317">
        <v>0.22500000000000006</v>
      </c>
      <c r="K317" t="s">
        <v>31</v>
      </c>
      <c r="L317" t="s">
        <v>31</v>
      </c>
      <c r="M317" t="s">
        <v>31</v>
      </c>
      <c r="O317" s="152" t="s">
        <v>221</v>
      </c>
      <c r="P317" s="153">
        <v>4.8999999999999998E-3</v>
      </c>
    </row>
    <row r="318" spans="1:20" ht="15.75">
      <c r="A318" s="17" t="s">
        <v>1808</v>
      </c>
      <c r="B318" s="116">
        <f t="shared" si="33"/>
        <v>9.0999999999999998E-2</v>
      </c>
      <c r="C318" t="s">
        <v>37</v>
      </c>
      <c r="D318" s="111" t="s">
        <v>2</v>
      </c>
      <c r="E318" t="s">
        <v>29</v>
      </c>
      <c r="F318" s="104" t="s">
        <v>741</v>
      </c>
      <c r="G318" t="s">
        <v>33</v>
      </c>
      <c r="H318">
        <v>2</v>
      </c>
      <c r="I318">
        <f t="shared" si="36"/>
        <v>-2.3968957724652871</v>
      </c>
      <c r="J318">
        <v>0.22500000000000006</v>
      </c>
      <c r="K318" t="s">
        <v>31</v>
      </c>
      <c r="L318" t="s">
        <v>31</v>
      </c>
      <c r="M318" t="s">
        <v>31</v>
      </c>
      <c r="O318" s="154" t="s">
        <v>221</v>
      </c>
      <c r="P318" s="196">
        <v>9.0999999999999998E-2</v>
      </c>
    </row>
    <row r="319" spans="1:20" s="41" customFormat="1" ht="15.75">
      <c r="A319" s="99" t="s">
        <v>5</v>
      </c>
      <c r="B319" s="108" t="s">
        <v>1973</v>
      </c>
    </row>
    <row r="320" spans="1:20">
      <c r="A320" s="101" t="s">
        <v>7</v>
      </c>
      <c r="B320" t="s">
        <v>1807</v>
      </c>
      <c r="C320" s="102"/>
    </row>
    <row r="321" spans="1:20">
      <c r="A321" s="114" t="s">
        <v>9</v>
      </c>
      <c r="B321" t="s">
        <v>1974</v>
      </c>
      <c r="C321" s="102"/>
    </row>
    <row r="322" spans="1:20" ht="15.75" customHeight="1">
      <c r="A322" s="101" t="s">
        <v>11</v>
      </c>
      <c r="B322" s="103" t="s">
        <v>789</v>
      </c>
    </row>
    <row r="323" spans="1:20">
      <c r="A323" s="101" t="s">
        <v>13</v>
      </c>
      <c r="B323" t="s">
        <v>14</v>
      </c>
    </row>
    <row r="324" spans="1:20">
      <c r="A324" s="101" t="s">
        <v>15</v>
      </c>
      <c r="B324" s="116">
        <f>B329</f>
        <v>2.1000000000000001E-2</v>
      </c>
    </row>
    <row r="325" spans="1:20">
      <c r="A325" s="101" t="s">
        <v>16</v>
      </c>
      <c r="B325" t="s">
        <v>17</v>
      </c>
    </row>
    <row r="326" spans="1:20">
      <c r="A326" s="101" t="s">
        <v>18</v>
      </c>
      <c r="B326" t="s">
        <v>113</v>
      </c>
    </row>
    <row r="327" spans="1:20" ht="15.75">
      <c r="A327" s="105" t="s">
        <v>19</v>
      </c>
    </row>
    <row r="328" spans="1:20" ht="15.75">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6"/>
    </row>
    <row r="329" spans="1:20" ht="15.75">
      <c r="A329" t="s">
        <v>1973</v>
      </c>
      <c r="B329" s="116">
        <f>P330</f>
        <v>2.1000000000000001E-2</v>
      </c>
      <c r="C329" t="s">
        <v>113</v>
      </c>
      <c r="D329" s="111" t="s">
        <v>2</v>
      </c>
      <c r="E329" t="s">
        <v>29</v>
      </c>
      <c r="F329" t="s">
        <v>14</v>
      </c>
      <c r="G329" t="s">
        <v>30</v>
      </c>
      <c r="H329">
        <v>1</v>
      </c>
      <c r="I329" s="116">
        <f t="shared" ref="I329:I331" si="37">B329</f>
        <v>2.1000000000000001E-2</v>
      </c>
      <c r="J329" t="s">
        <v>31</v>
      </c>
      <c r="K329" t="s">
        <v>31</v>
      </c>
      <c r="L329" t="s">
        <v>31</v>
      </c>
      <c r="M329" t="s">
        <v>31</v>
      </c>
    </row>
    <row r="330" spans="1:20" ht="15.75">
      <c r="A330" s="42" t="s">
        <v>1975</v>
      </c>
      <c r="B330" s="116">
        <f>P330</f>
        <v>2.1000000000000001E-2</v>
      </c>
      <c r="C330" t="s">
        <v>113</v>
      </c>
      <c r="D330" s="111" t="s">
        <v>2</v>
      </c>
      <c r="E330" t="s">
        <v>29</v>
      </c>
      <c r="F330" t="s">
        <v>14</v>
      </c>
      <c r="G330" t="s">
        <v>33</v>
      </c>
      <c r="H330">
        <v>1</v>
      </c>
      <c r="I330" s="116">
        <f t="shared" si="37"/>
        <v>2.1000000000000001E-2</v>
      </c>
      <c r="J330">
        <v>2.8722813232690055E-2</v>
      </c>
      <c r="K330" t="s">
        <v>31</v>
      </c>
      <c r="L330" t="s">
        <v>31</v>
      </c>
      <c r="M330" t="s">
        <v>31</v>
      </c>
      <c r="O330" s="136" t="s">
        <v>817</v>
      </c>
      <c r="P330" s="189">
        <v>2.1000000000000001E-2</v>
      </c>
    </row>
    <row r="331" spans="1:20" ht="15.75">
      <c r="A331" s="42" t="s">
        <v>1815</v>
      </c>
      <c r="B331">
        <f>R331</f>
        <v>0.221</v>
      </c>
      <c r="C331" t="s">
        <v>221</v>
      </c>
      <c r="D331" s="111" t="s">
        <v>2</v>
      </c>
      <c r="E331" t="s">
        <v>29</v>
      </c>
      <c r="F331" t="s">
        <v>14</v>
      </c>
      <c r="G331" t="s">
        <v>33</v>
      </c>
      <c r="H331">
        <v>1</v>
      </c>
      <c r="I331" s="116">
        <f t="shared" si="37"/>
        <v>0.221</v>
      </c>
      <c r="J331">
        <v>2.8722813232690055E-2</v>
      </c>
      <c r="K331" t="s">
        <v>31</v>
      </c>
      <c r="L331" t="s">
        <v>31</v>
      </c>
      <c r="M331" t="s">
        <v>31</v>
      </c>
      <c r="O331" s="136" t="s">
        <v>575</v>
      </c>
      <c r="P331" s="182">
        <v>221</v>
      </c>
      <c r="Q331" t="s">
        <v>221</v>
      </c>
      <c r="R331">
        <f>P331*0.001</f>
        <v>0.221</v>
      </c>
    </row>
    <row r="332" spans="1:20" ht="15.75">
      <c r="A332" s="106" t="s">
        <v>38</v>
      </c>
      <c r="B332" s="113">
        <f>P332</f>
        <v>0.02</v>
      </c>
      <c r="C332" t="s">
        <v>39</v>
      </c>
      <c r="D332" s="17" t="s">
        <v>40</v>
      </c>
      <c r="E332" t="s">
        <v>29</v>
      </c>
      <c r="F332" s="104" t="s">
        <v>35</v>
      </c>
      <c r="G332" t="s">
        <v>33</v>
      </c>
      <c r="H332">
        <v>2</v>
      </c>
      <c r="I332">
        <f t="shared" ref="I332:I334" si="38">LN(B332)</f>
        <v>-3.912023005428146</v>
      </c>
      <c r="J332">
        <v>0.20928449536456342</v>
      </c>
      <c r="K332" t="s">
        <v>31</v>
      </c>
      <c r="L332" t="s">
        <v>31</v>
      </c>
      <c r="M332" t="s">
        <v>31</v>
      </c>
      <c r="O332" s="119" t="s">
        <v>216</v>
      </c>
      <c r="P332" s="175">
        <v>0.02</v>
      </c>
    </row>
    <row r="333" spans="1:20" ht="15.75">
      <c r="A333" s="106" t="s">
        <v>38</v>
      </c>
      <c r="B333" s="113">
        <f>P333</f>
        <v>1.25</v>
      </c>
      <c r="C333" t="s">
        <v>39</v>
      </c>
      <c r="D333" s="17" t="s">
        <v>40</v>
      </c>
      <c r="E333" t="s">
        <v>29</v>
      </c>
      <c r="F333" s="104" t="s">
        <v>35</v>
      </c>
      <c r="G333" t="s">
        <v>33</v>
      </c>
      <c r="H333">
        <v>2</v>
      </c>
      <c r="I333">
        <f t="shared" si="38"/>
        <v>0.22314355131420976</v>
      </c>
      <c r="J333">
        <v>0.20928449536456342</v>
      </c>
      <c r="K333" t="s">
        <v>31</v>
      </c>
      <c r="L333" t="s">
        <v>31</v>
      </c>
      <c r="M333" t="s">
        <v>31</v>
      </c>
      <c r="O333" s="119" t="s">
        <v>216</v>
      </c>
      <c r="P333" s="120">
        <v>1.25</v>
      </c>
    </row>
    <row r="334" spans="1:20" ht="15.75">
      <c r="A334" s="106" t="s">
        <v>38</v>
      </c>
      <c r="B334" s="113">
        <f>P334</f>
        <v>0.32</v>
      </c>
      <c r="C334" t="s">
        <v>39</v>
      </c>
      <c r="D334" s="17" t="s">
        <v>40</v>
      </c>
      <c r="E334" t="s">
        <v>29</v>
      </c>
      <c r="F334" s="104" t="s">
        <v>35</v>
      </c>
      <c r="G334" t="s">
        <v>33</v>
      </c>
      <c r="H334">
        <v>2</v>
      </c>
      <c r="I334">
        <f t="shared" si="38"/>
        <v>-1.1394342831883648</v>
      </c>
      <c r="J334">
        <v>9.6436507609929598E-2</v>
      </c>
      <c r="K334" t="s">
        <v>31</v>
      </c>
      <c r="L334" t="s">
        <v>31</v>
      </c>
      <c r="M334" t="s">
        <v>31</v>
      </c>
      <c r="O334" s="119" t="s">
        <v>216</v>
      </c>
      <c r="P334" s="120">
        <v>0.32</v>
      </c>
    </row>
    <row r="335" spans="1:20">
      <c r="A335" s="47" t="s">
        <v>683</v>
      </c>
      <c r="B335" s="116">
        <f>R335</f>
        <v>2E-3</v>
      </c>
      <c r="C335" t="s">
        <v>37</v>
      </c>
      <c r="D335" t="s">
        <v>40</v>
      </c>
      <c r="E335" t="s">
        <v>29</v>
      </c>
      <c r="F335" t="s">
        <v>35</v>
      </c>
      <c r="G335" t="s">
        <v>33</v>
      </c>
      <c r="H335">
        <v>2</v>
      </c>
      <c r="I335">
        <f>LN(B335)</f>
        <v>-6.2146080984221914</v>
      </c>
      <c r="J335">
        <v>0.20928449536456342</v>
      </c>
      <c r="K335" t="s">
        <v>31</v>
      </c>
      <c r="L335" t="s">
        <v>31</v>
      </c>
      <c r="M335" t="s">
        <v>31</v>
      </c>
      <c r="O335" s="119" t="s">
        <v>575</v>
      </c>
      <c r="P335" s="120">
        <v>2</v>
      </c>
      <c r="Q335" t="s">
        <v>221</v>
      </c>
      <c r="R335">
        <f>P335*0.001</f>
        <v>2E-3</v>
      </c>
    </row>
    <row r="336" spans="1:20" ht="15.75">
      <c r="A336" s="106" t="s">
        <v>792</v>
      </c>
      <c r="B336" s="116">
        <f>P336</f>
        <v>0.02</v>
      </c>
      <c r="C336" t="s">
        <v>37</v>
      </c>
      <c r="D336" s="17" t="s">
        <v>40</v>
      </c>
      <c r="E336" t="s">
        <v>29</v>
      </c>
      <c r="F336" s="104" t="s">
        <v>741</v>
      </c>
      <c r="G336" t="s">
        <v>33</v>
      </c>
      <c r="H336">
        <v>2</v>
      </c>
      <c r="I336">
        <f>LN(B336)</f>
        <v>-3.912023005428146</v>
      </c>
      <c r="J336">
        <v>0.20928449536456342</v>
      </c>
      <c r="K336" t="s">
        <v>31</v>
      </c>
      <c r="L336" t="s">
        <v>31</v>
      </c>
      <c r="M336" t="s">
        <v>31</v>
      </c>
      <c r="O336" s="119" t="s">
        <v>221</v>
      </c>
      <c r="P336" s="175">
        <v>0.02</v>
      </c>
    </row>
    <row r="337" spans="1:20" ht="15.75">
      <c r="A337" s="47" t="s">
        <v>542</v>
      </c>
      <c r="B337" s="180">
        <f>R337</f>
        <v>3.2000000000000002E-3</v>
      </c>
      <c r="C337" t="s">
        <v>37</v>
      </c>
      <c r="D337" s="17" t="s">
        <v>40</v>
      </c>
      <c r="E337" t="s">
        <v>29</v>
      </c>
      <c r="F337" s="104" t="s">
        <v>128</v>
      </c>
      <c r="G337" t="s">
        <v>33</v>
      </c>
      <c r="H337">
        <v>2</v>
      </c>
      <c r="I337">
        <f>LN(B337)</f>
        <v>-5.7446044691764557</v>
      </c>
      <c r="J337">
        <v>0.20928449536456342</v>
      </c>
      <c r="K337" t="s">
        <v>31</v>
      </c>
      <c r="L337" t="s">
        <v>31</v>
      </c>
      <c r="M337" t="s">
        <v>31</v>
      </c>
      <c r="O337" s="119" t="s">
        <v>575</v>
      </c>
      <c r="P337" s="120">
        <v>3.2</v>
      </c>
      <c r="Q337" t="s">
        <v>221</v>
      </c>
      <c r="R337">
        <f>P337*0.001</f>
        <v>3.2000000000000002E-3</v>
      </c>
    </row>
    <row r="338" spans="1:20">
      <c r="A338" s="47" t="s">
        <v>530</v>
      </c>
      <c r="B338">
        <f>R338</f>
        <v>6.0000000000000001E-3</v>
      </c>
      <c r="C338" t="s">
        <v>37</v>
      </c>
      <c r="D338" t="s">
        <v>40</v>
      </c>
      <c r="E338" t="s">
        <v>29</v>
      </c>
      <c r="F338" t="s">
        <v>35</v>
      </c>
      <c r="G338" t="s">
        <v>33</v>
      </c>
      <c r="H338">
        <v>2</v>
      </c>
      <c r="I338">
        <f>LN(B338)</f>
        <v>-5.1159958097540823</v>
      </c>
      <c r="J338">
        <v>0.20928449536456342</v>
      </c>
      <c r="K338" t="s">
        <v>31</v>
      </c>
      <c r="L338" t="s">
        <v>31</v>
      </c>
      <c r="M338" t="s">
        <v>31</v>
      </c>
      <c r="O338" s="119" t="s">
        <v>575</v>
      </c>
      <c r="P338" s="120">
        <v>6</v>
      </c>
      <c r="Q338" t="s">
        <v>221</v>
      </c>
      <c r="R338">
        <f>P338*0.001</f>
        <v>6.0000000000000001E-3</v>
      </c>
    </row>
    <row r="339" spans="1:20" ht="15.75">
      <c r="A339" s="106" t="s">
        <v>480</v>
      </c>
      <c r="B339">
        <f>P339</f>
        <v>3.7</v>
      </c>
      <c r="C339" t="s">
        <v>37</v>
      </c>
      <c r="D339" s="17" t="s">
        <v>40</v>
      </c>
      <c r="E339" t="s">
        <v>29</v>
      </c>
      <c r="F339" s="104" t="s">
        <v>35</v>
      </c>
      <c r="G339" t="s">
        <v>33</v>
      </c>
      <c r="H339">
        <v>2</v>
      </c>
      <c r="I339">
        <f t="shared" ref="I339:I340" si="39">LN(B339)</f>
        <v>1.3083328196501789</v>
      </c>
      <c r="J339">
        <v>0.20928449536456342</v>
      </c>
      <c r="K339" t="s">
        <v>31</v>
      </c>
      <c r="L339" t="s">
        <v>31</v>
      </c>
      <c r="M339" t="s">
        <v>31</v>
      </c>
      <c r="O339" s="119" t="s">
        <v>221</v>
      </c>
      <c r="P339" s="120">
        <v>3.7</v>
      </c>
    </row>
    <row r="340" spans="1:20" ht="15.75">
      <c r="A340" s="17" t="s">
        <v>1808</v>
      </c>
      <c r="B340" s="116">
        <f>P340</f>
        <v>1.0999999999999999E-2</v>
      </c>
      <c r="C340" t="s">
        <v>37</v>
      </c>
      <c r="D340" s="111" t="s">
        <v>2</v>
      </c>
      <c r="E340" t="s">
        <v>29</v>
      </c>
      <c r="F340" s="104" t="s">
        <v>741</v>
      </c>
      <c r="G340" t="s">
        <v>33</v>
      </c>
      <c r="H340">
        <v>2</v>
      </c>
      <c r="I340">
        <f t="shared" si="39"/>
        <v>-4.5098600061837661</v>
      </c>
      <c r="J340">
        <v>0.20928449536456342</v>
      </c>
      <c r="K340" t="s">
        <v>31</v>
      </c>
      <c r="L340" t="s">
        <v>31</v>
      </c>
      <c r="M340" t="s">
        <v>31</v>
      </c>
      <c r="O340" s="154" t="s">
        <v>221</v>
      </c>
      <c r="P340" s="196">
        <v>1.0999999999999999E-2</v>
      </c>
    </row>
    <row r="341" spans="1:20" s="41" customFormat="1" ht="15.75">
      <c r="A341" s="99" t="s">
        <v>5</v>
      </c>
      <c r="B341" s="108" t="s">
        <v>1975</v>
      </c>
      <c r="P341" s="184"/>
    </row>
    <row r="342" spans="1:20">
      <c r="A342" s="101" t="s">
        <v>7</v>
      </c>
      <c r="B342" t="s">
        <v>1807</v>
      </c>
      <c r="C342" s="102"/>
    </row>
    <row r="343" spans="1:20">
      <c r="A343" s="114" t="s">
        <v>9</v>
      </c>
      <c r="B343" t="s">
        <v>1976</v>
      </c>
      <c r="C343" s="102"/>
    </row>
    <row r="344" spans="1:20" ht="15.75" customHeight="1">
      <c r="A344" s="101" t="s">
        <v>11</v>
      </c>
      <c r="B344" s="103" t="s">
        <v>789</v>
      </c>
    </row>
    <row r="345" spans="1:20">
      <c r="A345" s="101" t="s">
        <v>13</v>
      </c>
      <c r="B345" t="s">
        <v>14</v>
      </c>
    </row>
    <row r="346" spans="1:20">
      <c r="A346" s="101" t="s">
        <v>15</v>
      </c>
      <c r="B346" s="116">
        <f>B351</f>
        <v>2.1000000000000001E-2</v>
      </c>
    </row>
    <row r="347" spans="1:20">
      <c r="A347" s="101" t="s">
        <v>16</v>
      </c>
      <c r="B347" t="s">
        <v>17</v>
      </c>
    </row>
    <row r="348" spans="1:20">
      <c r="A348" s="101" t="s">
        <v>18</v>
      </c>
      <c r="B348" t="s">
        <v>113</v>
      </c>
    </row>
    <row r="349" spans="1:20" ht="15.75">
      <c r="A349" s="105" t="s">
        <v>19</v>
      </c>
    </row>
    <row r="350" spans="1:20" ht="15.75">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6"/>
    </row>
    <row r="351" spans="1:20" ht="15.75">
      <c r="A351" s="42" t="s">
        <v>1975</v>
      </c>
      <c r="B351" s="116">
        <f>P351</f>
        <v>2.1000000000000001E-2</v>
      </c>
      <c r="C351" t="s">
        <v>113</v>
      </c>
      <c r="D351" s="111" t="s">
        <v>2</v>
      </c>
      <c r="E351" t="s">
        <v>29</v>
      </c>
      <c r="F351" t="s">
        <v>14</v>
      </c>
      <c r="G351" t="s">
        <v>30</v>
      </c>
      <c r="H351">
        <v>1</v>
      </c>
      <c r="I351" s="116">
        <f>B351</f>
        <v>2.1000000000000001E-2</v>
      </c>
      <c r="J351" t="s">
        <v>31</v>
      </c>
      <c r="K351" t="s">
        <v>31</v>
      </c>
      <c r="L351" t="s">
        <v>31</v>
      </c>
      <c r="M351" t="s">
        <v>31</v>
      </c>
      <c r="O351" s="136" t="s">
        <v>817</v>
      </c>
      <c r="P351" s="184">
        <v>2.1000000000000001E-2</v>
      </c>
    </row>
    <row r="352" spans="1:20">
      <c r="A352" s="47" t="s">
        <v>842</v>
      </c>
      <c r="B352">
        <f>P352</f>
        <v>0.04</v>
      </c>
      <c r="C352" t="s">
        <v>37</v>
      </c>
      <c r="D352" t="s">
        <v>40</v>
      </c>
      <c r="E352" t="s">
        <v>29</v>
      </c>
      <c r="F352" t="s">
        <v>128</v>
      </c>
      <c r="G352" t="s">
        <v>33</v>
      </c>
      <c r="H352">
        <v>2</v>
      </c>
      <c r="I352">
        <f t="shared" ref="I352:I362" si="40">LN(B352)</f>
        <v>-3.2188758248682006</v>
      </c>
      <c r="J352" s="151">
        <v>0.22516660498395411</v>
      </c>
      <c r="K352" t="s">
        <v>31</v>
      </c>
      <c r="L352" t="s">
        <v>31</v>
      </c>
      <c r="M352" t="s">
        <v>31</v>
      </c>
      <c r="O352" s="119" t="s">
        <v>221</v>
      </c>
      <c r="P352" s="120">
        <v>0.04</v>
      </c>
    </row>
    <row r="353" spans="1:18" ht="15.75">
      <c r="A353" s="106" t="s">
        <v>38</v>
      </c>
      <c r="B353" s="113">
        <f>P353</f>
        <v>0.45</v>
      </c>
      <c r="C353" t="s">
        <v>39</v>
      </c>
      <c r="D353" s="17" t="s">
        <v>40</v>
      </c>
      <c r="E353" t="s">
        <v>29</v>
      </c>
      <c r="F353" s="104" t="s">
        <v>35</v>
      </c>
      <c r="G353" t="s">
        <v>33</v>
      </c>
      <c r="H353">
        <v>2</v>
      </c>
      <c r="I353">
        <f t="shared" si="40"/>
        <v>-0.79850769621777162</v>
      </c>
      <c r="J353" s="151">
        <v>0.22516660498395411</v>
      </c>
      <c r="K353" t="s">
        <v>31</v>
      </c>
      <c r="L353" t="s">
        <v>31</v>
      </c>
      <c r="M353" t="s">
        <v>31</v>
      </c>
      <c r="O353" s="119" t="s">
        <v>216</v>
      </c>
      <c r="P353" s="120">
        <v>0.45</v>
      </c>
    </row>
    <row r="354" spans="1:18" ht="15.75">
      <c r="A354" s="47" t="s">
        <v>958</v>
      </c>
      <c r="B354" s="116">
        <f>R354</f>
        <v>7.3999999999999999E-4</v>
      </c>
      <c r="C354" t="s">
        <v>37</v>
      </c>
      <c r="D354" s="17" t="s">
        <v>40</v>
      </c>
      <c r="E354" t="s">
        <v>29</v>
      </c>
      <c r="F354" t="s">
        <v>35</v>
      </c>
      <c r="G354" t="s">
        <v>33</v>
      </c>
      <c r="H354">
        <v>2</v>
      </c>
      <c r="I354">
        <f t="shared" si="40"/>
        <v>-7.2088603717660584</v>
      </c>
      <c r="J354" s="151">
        <v>0.22516660498395411</v>
      </c>
      <c r="K354" t="s">
        <v>31</v>
      </c>
      <c r="L354" t="s">
        <v>31</v>
      </c>
      <c r="M354" t="s">
        <v>31</v>
      </c>
      <c r="O354" s="119" t="s">
        <v>575</v>
      </c>
      <c r="P354" s="175">
        <v>0.74</v>
      </c>
      <c r="Q354" t="s">
        <v>221</v>
      </c>
      <c r="R354" s="116">
        <f>0.001*P354</f>
        <v>7.3999999999999999E-4</v>
      </c>
    </row>
    <row r="355" spans="1:18" ht="15.75">
      <c r="A355" s="47" t="s">
        <v>959</v>
      </c>
      <c r="B355" s="116">
        <f>P355</f>
        <v>3.5999999999999999E-3</v>
      </c>
      <c r="C355" t="s">
        <v>37</v>
      </c>
      <c r="D355" s="17" t="s">
        <v>40</v>
      </c>
      <c r="E355" t="s">
        <v>29</v>
      </c>
      <c r="F355" t="s">
        <v>35</v>
      </c>
      <c r="G355" t="s">
        <v>33</v>
      </c>
      <c r="H355">
        <v>2</v>
      </c>
      <c r="I355">
        <f t="shared" si="40"/>
        <v>-5.6268214335200728</v>
      </c>
      <c r="J355" s="151">
        <v>0.22516660498395411</v>
      </c>
      <c r="K355" t="s">
        <v>31</v>
      </c>
      <c r="L355" t="s">
        <v>31</v>
      </c>
      <c r="M355" t="s">
        <v>31</v>
      </c>
      <c r="O355" s="119" t="s">
        <v>221</v>
      </c>
      <c r="P355" s="175">
        <v>3.5999999999999999E-3</v>
      </c>
    </row>
    <row r="356" spans="1:18" ht="15.75">
      <c r="A356" s="47" t="s">
        <v>960</v>
      </c>
      <c r="B356" s="116">
        <f>P356</f>
        <v>3.0000000000000001E-3</v>
      </c>
      <c r="C356" t="s">
        <v>37</v>
      </c>
      <c r="D356" s="17" t="s">
        <v>40</v>
      </c>
      <c r="E356" t="s">
        <v>29</v>
      </c>
      <c r="F356" t="s">
        <v>35</v>
      </c>
      <c r="G356" t="s">
        <v>33</v>
      </c>
      <c r="H356">
        <v>2</v>
      </c>
      <c r="I356">
        <f t="shared" si="40"/>
        <v>-5.8091429903140277</v>
      </c>
      <c r="J356" s="151">
        <v>0.22516660498395411</v>
      </c>
      <c r="K356" t="s">
        <v>31</v>
      </c>
      <c r="L356" t="s">
        <v>31</v>
      </c>
      <c r="M356" t="s">
        <v>31</v>
      </c>
      <c r="O356" s="119" t="s">
        <v>221</v>
      </c>
      <c r="P356" s="175">
        <v>3.0000000000000001E-3</v>
      </c>
    </row>
    <row r="357" spans="1:18" ht="15.75">
      <c r="A357" s="47" t="s">
        <v>961</v>
      </c>
      <c r="B357" s="116">
        <f>P357</f>
        <v>2.5999999999999999E-2</v>
      </c>
      <c r="C357" t="s">
        <v>37</v>
      </c>
      <c r="D357" s="17" t="s">
        <v>40</v>
      </c>
      <c r="E357" t="s">
        <v>29</v>
      </c>
      <c r="F357" t="s">
        <v>35</v>
      </c>
      <c r="G357" t="s">
        <v>33</v>
      </c>
      <c r="H357">
        <v>2</v>
      </c>
      <c r="I357">
        <f t="shared" si="40"/>
        <v>-3.6496587409606551</v>
      </c>
      <c r="J357" s="151">
        <v>0.22516660498395411</v>
      </c>
      <c r="K357" t="s">
        <v>31</v>
      </c>
      <c r="L357" t="s">
        <v>31</v>
      </c>
      <c r="M357" t="s">
        <v>31</v>
      </c>
      <c r="O357" s="119" t="s">
        <v>221</v>
      </c>
      <c r="P357" s="120">
        <v>2.5999999999999999E-2</v>
      </c>
    </row>
    <row r="358" spans="1:18" ht="15.75">
      <c r="A358" s="47" t="s">
        <v>962</v>
      </c>
      <c r="B358" s="116">
        <f>R358</f>
        <v>1.4999999999999999E-4</v>
      </c>
      <c r="C358" t="s">
        <v>37</v>
      </c>
      <c r="D358" s="17" t="s">
        <v>43</v>
      </c>
      <c r="E358" t="s">
        <v>44</v>
      </c>
      <c r="F358" t="s">
        <v>29</v>
      </c>
      <c r="G358" t="s">
        <v>45</v>
      </c>
      <c r="H358">
        <v>2</v>
      </c>
      <c r="I358">
        <f t="shared" si="40"/>
        <v>-8.8048752638680181</v>
      </c>
      <c r="J358" s="151">
        <v>0.10344080432788608</v>
      </c>
      <c r="K358" t="s">
        <v>31</v>
      </c>
      <c r="L358" t="s">
        <v>31</v>
      </c>
      <c r="M358" t="s">
        <v>31</v>
      </c>
      <c r="O358" s="152" t="s">
        <v>575</v>
      </c>
      <c r="P358" s="153">
        <v>0.15</v>
      </c>
      <c r="Q358" t="s">
        <v>221</v>
      </c>
      <c r="R358" s="116">
        <f>0.001*P358</f>
        <v>1.4999999999999999E-4</v>
      </c>
    </row>
    <row r="359" spans="1:18" ht="15.75">
      <c r="A359" s="47" t="s">
        <v>229</v>
      </c>
      <c r="B359" s="116">
        <f t="shared" ref="B359:B361" si="41">R359</f>
        <v>2E-3</v>
      </c>
      <c r="C359" t="s">
        <v>37</v>
      </c>
      <c r="D359" s="17" t="s">
        <v>43</v>
      </c>
      <c r="E359" t="s">
        <v>44</v>
      </c>
      <c r="F359" t="s">
        <v>29</v>
      </c>
      <c r="G359" t="s">
        <v>45</v>
      </c>
      <c r="H359">
        <v>2</v>
      </c>
      <c r="I359">
        <f t="shared" si="40"/>
        <v>-6.2146080984221914</v>
      </c>
      <c r="J359" s="151">
        <v>0.10344080432788608</v>
      </c>
      <c r="K359" t="s">
        <v>31</v>
      </c>
      <c r="L359" t="s">
        <v>31</v>
      </c>
      <c r="M359" t="s">
        <v>31</v>
      </c>
      <c r="O359" s="152" t="s">
        <v>575</v>
      </c>
      <c r="P359" s="153">
        <v>2</v>
      </c>
      <c r="Q359" t="s">
        <v>221</v>
      </c>
      <c r="R359" s="116">
        <f>0.001*P359</f>
        <v>2E-3</v>
      </c>
    </row>
    <row r="360" spans="1:18" ht="15.75">
      <c r="A360" s="47" t="s">
        <v>963</v>
      </c>
      <c r="B360" s="116">
        <f t="shared" si="41"/>
        <v>1E-3</v>
      </c>
      <c r="C360" t="s">
        <v>37</v>
      </c>
      <c r="D360" s="17" t="s">
        <v>43</v>
      </c>
      <c r="E360" t="s">
        <v>44</v>
      </c>
      <c r="F360" t="s">
        <v>29</v>
      </c>
      <c r="G360" t="s">
        <v>45</v>
      </c>
      <c r="H360">
        <v>2</v>
      </c>
      <c r="I360">
        <f t="shared" si="40"/>
        <v>-6.9077552789821368</v>
      </c>
      <c r="J360" s="151">
        <v>0.10344080432788608</v>
      </c>
      <c r="K360" t="s">
        <v>31</v>
      </c>
      <c r="L360" t="s">
        <v>31</v>
      </c>
      <c r="M360" t="s">
        <v>31</v>
      </c>
      <c r="O360" s="152" t="s">
        <v>575</v>
      </c>
      <c r="P360" s="153">
        <v>1</v>
      </c>
      <c r="Q360" t="s">
        <v>221</v>
      </c>
      <c r="R360" s="116">
        <f>0.001*P360</f>
        <v>1E-3</v>
      </c>
    </row>
    <row r="361" spans="1:18">
      <c r="A361" s="47" t="s">
        <v>760</v>
      </c>
      <c r="B361" s="116">
        <f t="shared" si="41"/>
        <v>5.9000000000000003E-4</v>
      </c>
      <c r="C361" t="s">
        <v>37</v>
      </c>
      <c r="D361" t="s">
        <v>43</v>
      </c>
      <c r="E361" t="s">
        <v>44</v>
      </c>
      <c r="F361" t="s">
        <v>29</v>
      </c>
      <c r="G361" t="s">
        <v>45</v>
      </c>
      <c r="H361">
        <v>2</v>
      </c>
      <c r="I361">
        <f t="shared" si="40"/>
        <v>-7.4353880210645089</v>
      </c>
      <c r="J361" s="151">
        <v>0.10344080432788608</v>
      </c>
      <c r="K361" t="s">
        <v>31</v>
      </c>
      <c r="L361" t="s">
        <v>31</v>
      </c>
      <c r="M361" t="s">
        <v>31</v>
      </c>
      <c r="O361" s="152" t="s">
        <v>575</v>
      </c>
      <c r="P361" s="153">
        <v>0.59</v>
      </c>
      <c r="Q361" t="s">
        <v>221</v>
      </c>
      <c r="R361" s="116">
        <f>0.001*P361</f>
        <v>5.9000000000000003E-4</v>
      </c>
    </row>
    <row r="362" spans="1:18" ht="15.75">
      <c r="A362" s="17" t="s">
        <v>1810</v>
      </c>
      <c r="B362" s="116">
        <f>P362</f>
        <v>8.0999999999999996E-3</v>
      </c>
      <c r="C362" t="s">
        <v>37</v>
      </c>
      <c r="D362" s="111" t="s">
        <v>2</v>
      </c>
      <c r="E362" t="s">
        <v>29</v>
      </c>
      <c r="F362" s="104" t="s">
        <v>741</v>
      </c>
      <c r="G362" t="s">
        <v>33</v>
      </c>
      <c r="H362">
        <v>2</v>
      </c>
      <c r="I362">
        <f t="shared" si="40"/>
        <v>-4.8158912173037436</v>
      </c>
      <c r="J362">
        <v>0.11269427669584645</v>
      </c>
      <c r="K362" t="s">
        <v>31</v>
      </c>
      <c r="L362" t="s">
        <v>31</v>
      </c>
      <c r="M362" t="s">
        <v>31</v>
      </c>
      <c r="O362" s="154" t="s">
        <v>221</v>
      </c>
      <c r="P362" s="196">
        <v>8.0999999999999996E-3</v>
      </c>
    </row>
    <row r="363" spans="1:18">
      <c r="P363" s="184"/>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7491-0C1C-44E5-BF6A-7A99727F3D2F}">
  <dimension ref="A1:X48"/>
  <sheetViews>
    <sheetView topLeftCell="A10" workbookViewId="0">
      <selection activeCell="A36" sqref="A36"/>
    </sheetView>
  </sheetViews>
  <sheetFormatPr defaultRowHeight="15"/>
  <cols>
    <col min="1" max="1" width="75.28515625" bestFit="1" customWidth="1"/>
    <col min="2" max="2" width="11" customWidth="1"/>
    <col min="4" max="4" width="15.28515625" customWidth="1"/>
    <col min="5" max="5" width="32.7109375" bestFit="1" customWidth="1"/>
    <col min="6" max="6" width="11" bestFit="1" customWidth="1"/>
    <col min="7" max="7" width="13.85546875" bestFit="1" customWidth="1"/>
  </cols>
  <sheetData>
    <row r="1" spans="1:24" s="253" customFormat="1">
      <c r="A1" s="253" t="s">
        <v>0</v>
      </c>
      <c r="B1" s="253" t="s">
        <v>268</v>
      </c>
      <c r="C1" s="174"/>
    </row>
    <row r="2" spans="1:24">
      <c r="A2" s="206" t="s">
        <v>5</v>
      </c>
      <c r="B2" s="206" t="s">
        <v>257</v>
      </c>
      <c r="C2" s="206"/>
      <c r="D2" s="39"/>
      <c r="E2" s="41"/>
      <c r="F2" s="41"/>
      <c r="G2" s="41"/>
      <c r="H2" s="41"/>
      <c r="I2" s="41"/>
      <c r="J2" s="41"/>
      <c r="K2" s="41"/>
      <c r="L2" s="41"/>
      <c r="M2" s="41"/>
      <c r="N2" s="41"/>
      <c r="O2" s="41"/>
      <c r="P2" s="41"/>
      <c r="Q2" s="41" t="s">
        <v>202</v>
      </c>
      <c r="S2" s="22"/>
      <c r="T2" s="22"/>
      <c r="U2" s="22"/>
      <c r="V2" s="22"/>
      <c r="W2" s="22"/>
      <c r="X2" s="22"/>
    </row>
    <row r="3" spans="1:24">
      <c r="A3" t="s">
        <v>7</v>
      </c>
      <c r="B3" t="s">
        <v>203</v>
      </c>
      <c r="Q3" t="s">
        <v>202</v>
      </c>
      <c r="S3" s="22"/>
      <c r="T3" s="22"/>
      <c r="U3" s="22"/>
      <c r="V3" s="22"/>
      <c r="W3" s="22"/>
      <c r="X3" s="22"/>
    </row>
    <row r="4" spans="1:24">
      <c r="A4" t="s">
        <v>9</v>
      </c>
      <c r="B4" s="22" t="s">
        <v>269</v>
      </c>
      <c r="C4" s="22"/>
      <c r="Q4" t="s">
        <v>202</v>
      </c>
      <c r="S4" s="22"/>
      <c r="T4" s="22"/>
      <c r="U4" s="22"/>
      <c r="V4" s="22"/>
      <c r="W4" s="22"/>
      <c r="X4" s="22"/>
    </row>
    <row r="5" spans="1:24">
      <c r="A5" t="s">
        <v>11</v>
      </c>
      <c r="B5" t="s">
        <v>270</v>
      </c>
      <c r="Q5" t="s">
        <v>202</v>
      </c>
      <c r="S5" s="22"/>
      <c r="T5" s="22"/>
      <c r="U5" s="22"/>
      <c r="V5" s="22"/>
      <c r="W5" s="22"/>
      <c r="X5" s="22"/>
    </row>
    <row r="6" spans="1:24">
      <c r="A6" t="s">
        <v>13</v>
      </c>
      <c r="B6" t="s">
        <v>128</v>
      </c>
      <c r="Q6" t="s">
        <v>202</v>
      </c>
      <c r="S6" s="22"/>
      <c r="T6" s="22"/>
      <c r="U6" s="22"/>
      <c r="V6" s="22"/>
      <c r="W6" s="22"/>
      <c r="X6" s="22"/>
    </row>
    <row r="7" spans="1:24">
      <c r="A7" t="s">
        <v>15</v>
      </c>
      <c r="B7">
        <v>1</v>
      </c>
      <c r="Q7" t="s">
        <v>202</v>
      </c>
      <c r="S7" s="22"/>
      <c r="T7" s="22"/>
      <c r="U7" s="22"/>
      <c r="V7" s="22"/>
      <c r="W7" s="22"/>
      <c r="X7" s="22"/>
    </row>
    <row r="8" spans="1:24">
      <c r="A8" t="s">
        <v>16</v>
      </c>
      <c r="B8" t="s">
        <v>17</v>
      </c>
      <c r="Q8" t="s">
        <v>202</v>
      </c>
      <c r="S8" s="22"/>
      <c r="T8" s="22"/>
      <c r="U8" s="22"/>
      <c r="V8" s="22"/>
      <c r="W8" s="22"/>
      <c r="X8" s="22"/>
    </row>
    <row r="9" spans="1:24">
      <c r="A9" t="s">
        <v>18</v>
      </c>
      <c r="B9" t="s">
        <v>37</v>
      </c>
      <c r="E9" t="s">
        <v>197</v>
      </c>
      <c r="Q9" t="s">
        <v>202</v>
      </c>
      <c r="S9" s="22"/>
      <c r="T9" s="22"/>
      <c r="U9" s="22"/>
      <c r="V9" s="22"/>
      <c r="W9" s="22"/>
      <c r="X9" s="22"/>
    </row>
    <row r="10" spans="1:24">
      <c r="A10" s="159" t="s">
        <v>19</v>
      </c>
      <c r="Q10" t="s">
        <v>202</v>
      </c>
      <c r="S10" s="22"/>
      <c r="T10" s="22"/>
      <c r="U10" s="22"/>
      <c r="V10" s="22"/>
      <c r="W10" s="22"/>
      <c r="X10" s="22"/>
    </row>
    <row r="11" spans="1:24">
      <c r="A11" s="159" t="s">
        <v>20</v>
      </c>
      <c r="B11" s="159" t="s">
        <v>21</v>
      </c>
      <c r="C11" s="159" t="s">
        <v>198</v>
      </c>
      <c r="D11" s="159" t="s">
        <v>18</v>
      </c>
      <c r="E11" s="159" t="s">
        <v>22</v>
      </c>
      <c r="F11" s="159" t="s">
        <v>7</v>
      </c>
      <c r="G11" s="159" t="s">
        <v>13</v>
      </c>
      <c r="H11" s="159" t="s">
        <v>16</v>
      </c>
      <c r="I11" s="159" t="s">
        <v>23</v>
      </c>
      <c r="J11" s="159" t="s">
        <v>24</v>
      </c>
      <c r="K11" s="159" t="s">
        <v>25</v>
      </c>
      <c r="L11" s="159" t="s">
        <v>26</v>
      </c>
      <c r="M11" s="159" t="s">
        <v>27</v>
      </c>
      <c r="N11" s="159" t="s">
        <v>28</v>
      </c>
      <c r="O11" s="159" t="s">
        <v>11</v>
      </c>
      <c r="P11" s="197" t="s">
        <v>206</v>
      </c>
      <c r="Q11" t="s">
        <v>202</v>
      </c>
      <c r="S11" s="22"/>
      <c r="T11" s="22"/>
      <c r="U11" s="22"/>
      <c r="V11" s="22"/>
      <c r="W11" s="22"/>
      <c r="X11" s="22"/>
    </row>
    <row r="12" spans="1:24">
      <c r="A12" t="s">
        <v>257</v>
      </c>
      <c r="B12">
        <v>1</v>
      </c>
      <c r="D12" t="s">
        <v>37</v>
      </c>
      <c r="E12" t="s">
        <v>2</v>
      </c>
      <c r="F12" t="s">
        <v>29</v>
      </c>
      <c r="G12" t="s">
        <v>128</v>
      </c>
      <c r="H12" t="s">
        <v>30</v>
      </c>
      <c r="I12">
        <v>1</v>
      </c>
      <c r="J12">
        <v>1</v>
      </c>
      <c r="K12" t="s">
        <v>31</v>
      </c>
      <c r="L12" t="s">
        <v>31</v>
      </c>
      <c r="M12" t="s">
        <v>31</v>
      </c>
      <c r="N12" t="s">
        <v>31</v>
      </c>
      <c r="Q12" t="s">
        <v>202</v>
      </c>
      <c r="S12" s="22"/>
      <c r="T12" s="22"/>
      <c r="U12" s="22"/>
      <c r="V12" s="22"/>
      <c r="W12" s="22"/>
      <c r="X12" s="22"/>
    </row>
    <row r="13" spans="1:24">
      <c r="A13" s="42" t="s">
        <v>227</v>
      </c>
      <c r="B13">
        <v>-1</v>
      </c>
      <c r="D13" t="s">
        <v>37</v>
      </c>
      <c r="E13" s="205" t="s">
        <v>40</v>
      </c>
      <c r="F13" s="205" t="s">
        <v>29</v>
      </c>
      <c r="G13" s="205" t="s">
        <v>128</v>
      </c>
      <c r="H13" s="205" t="s">
        <v>33</v>
      </c>
      <c r="I13">
        <v>1</v>
      </c>
      <c r="J13">
        <v>1</v>
      </c>
      <c r="K13" t="s">
        <v>31</v>
      </c>
      <c r="L13" t="s">
        <v>31</v>
      </c>
      <c r="M13" t="s">
        <v>31</v>
      </c>
      <c r="N13" t="s">
        <v>31</v>
      </c>
      <c r="Q13" s="22" t="s">
        <v>202</v>
      </c>
      <c r="S13" s="22"/>
      <c r="T13" s="22"/>
      <c r="U13" s="22"/>
      <c r="V13" s="22"/>
      <c r="W13" s="22"/>
      <c r="X13" s="22"/>
    </row>
    <row r="14" spans="1:24">
      <c r="A14" s="206" t="s">
        <v>5</v>
      </c>
      <c r="B14" s="206" t="s">
        <v>271</v>
      </c>
      <c r="C14" s="206"/>
      <c r="D14" s="39"/>
      <c r="E14" s="41"/>
      <c r="F14" s="41"/>
      <c r="G14" s="41"/>
      <c r="H14" s="41"/>
      <c r="I14" s="41"/>
      <c r="J14" s="41"/>
      <c r="K14" s="41"/>
      <c r="L14" s="41"/>
      <c r="M14" s="41"/>
      <c r="N14" s="41"/>
      <c r="O14" s="41"/>
      <c r="P14" s="41"/>
      <c r="Q14" s="41" t="s">
        <v>202</v>
      </c>
      <c r="S14" s="22"/>
      <c r="T14" s="22"/>
      <c r="U14" s="22"/>
      <c r="V14" s="22"/>
      <c r="W14" s="22"/>
      <c r="X14" s="22"/>
    </row>
    <row r="15" spans="1:24">
      <c r="A15" t="s">
        <v>7</v>
      </c>
      <c r="B15" t="s">
        <v>203</v>
      </c>
      <c r="Q15" t="s">
        <v>202</v>
      </c>
      <c r="S15" s="22"/>
      <c r="T15" s="22"/>
      <c r="U15" s="22"/>
      <c r="V15" s="22"/>
      <c r="W15" s="22"/>
      <c r="X15" s="22"/>
    </row>
    <row r="16" spans="1:24">
      <c r="A16" t="s">
        <v>9</v>
      </c>
      <c r="B16" s="22" t="s">
        <v>272</v>
      </c>
      <c r="C16" s="22"/>
      <c r="Q16" t="s">
        <v>202</v>
      </c>
      <c r="S16" s="22"/>
      <c r="T16" s="22"/>
      <c r="U16" s="22"/>
      <c r="V16" s="22"/>
      <c r="W16" s="22"/>
      <c r="X16" s="22"/>
    </row>
    <row r="17" spans="1:24">
      <c r="A17" t="s">
        <v>11</v>
      </c>
      <c r="B17" t="s">
        <v>270</v>
      </c>
      <c r="Q17" t="s">
        <v>202</v>
      </c>
      <c r="S17" s="22"/>
      <c r="T17" s="22"/>
      <c r="U17" s="22"/>
      <c r="V17" s="22"/>
      <c r="W17" s="22"/>
      <c r="X17" s="22"/>
    </row>
    <row r="18" spans="1:24">
      <c r="A18" t="s">
        <v>13</v>
      </c>
      <c r="B18" t="s">
        <v>58</v>
      </c>
      <c r="Q18" t="s">
        <v>202</v>
      </c>
      <c r="S18" s="22"/>
      <c r="T18" s="22"/>
      <c r="U18" s="22"/>
      <c r="V18" s="22"/>
      <c r="W18" s="22"/>
      <c r="X18" s="22"/>
    </row>
    <row r="19" spans="1:24">
      <c r="A19" t="s">
        <v>15</v>
      </c>
      <c r="B19">
        <v>1</v>
      </c>
      <c r="Q19" t="s">
        <v>202</v>
      </c>
      <c r="S19" s="22"/>
      <c r="T19" s="22"/>
      <c r="U19" s="22"/>
      <c r="V19" s="22"/>
      <c r="W19" s="22"/>
      <c r="X19" s="22"/>
    </row>
    <row r="20" spans="1:24">
      <c r="A20" t="s">
        <v>16</v>
      </c>
      <c r="B20" t="s">
        <v>17</v>
      </c>
      <c r="Q20" t="s">
        <v>202</v>
      </c>
      <c r="S20" s="22"/>
      <c r="T20" s="22"/>
      <c r="U20" s="22"/>
      <c r="V20" s="22"/>
      <c r="W20" s="22"/>
      <c r="X20" s="22"/>
    </row>
    <row r="21" spans="1:24">
      <c r="A21" t="s">
        <v>18</v>
      </c>
      <c r="B21" t="s">
        <v>37</v>
      </c>
      <c r="E21" t="s">
        <v>197</v>
      </c>
      <c r="Q21" t="s">
        <v>202</v>
      </c>
      <c r="S21" s="22"/>
      <c r="T21" s="22"/>
      <c r="U21" s="22"/>
      <c r="V21" s="22"/>
      <c r="W21" s="22"/>
      <c r="X21" s="22"/>
    </row>
    <row r="22" spans="1:24">
      <c r="A22" s="159" t="s">
        <v>19</v>
      </c>
      <c r="Q22" t="s">
        <v>202</v>
      </c>
      <c r="S22" s="22"/>
      <c r="T22" s="22"/>
      <c r="U22" s="22"/>
      <c r="V22" s="22"/>
      <c r="W22" s="22"/>
      <c r="X22" s="22"/>
    </row>
    <row r="23" spans="1:24">
      <c r="A23" s="159" t="s">
        <v>20</v>
      </c>
      <c r="B23" s="159" t="s">
        <v>21</v>
      </c>
      <c r="C23" s="159" t="s">
        <v>198</v>
      </c>
      <c r="D23" s="159" t="s">
        <v>18</v>
      </c>
      <c r="E23" s="159" t="s">
        <v>22</v>
      </c>
      <c r="F23" s="159" t="s">
        <v>7</v>
      </c>
      <c r="G23" s="159" t="s">
        <v>13</v>
      </c>
      <c r="H23" s="159" t="s">
        <v>16</v>
      </c>
      <c r="I23" s="159" t="s">
        <v>23</v>
      </c>
      <c r="J23" s="159" t="s">
        <v>24</v>
      </c>
      <c r="K23" s="159" t="s">
        <v>25</v>
      </c>
      <c r="L23" s="159" t="s">
        <v>26</v>
      </c>
      <c r="M23" s="159" t="s">
        <v>27</v>
      </c>
      <c r="N23" s="159" t="s">
        <v>28</v>
      </c>
      <c r="O23" s="159" t="s">
        <v>11</v>
      </c>
      <c r="P23" s="197" t="s">
        <v>206</v>
      </c>
      <c r="Q23" t="s">
        <v>202</v>
      </c>
      <c r="S23" s="22"/>
      <c r="T23" s="22"/>
      <c r="U23" s="22"/>
      <c r="V23" s="22"/>
      <c r="W23" s="22"/>
      <c r="X23" s="22"/>
    </row>
    <row r="24" spans="1:24">
      <c r="A24" t="s">
        <v>271</v>
      </c>
      <c r="B24">
        <v>1</v>
      </c>
      <c r="D24" t="s">
        <v>37</v>
      </c>
      <c r="E24" t="s">
        <v>2</v>
      </c>
      <c r="F24" t="s">
        <v>29</v>
      </c>
      <c r="G24" t="s">
        <v>58</v>
      </c>
      <c r="H24" t="s">
        <v>30</v>
      </c>
      <c r="I24">
        <v>1</v>
      </c>
      <c r="J24">
        <v>1</v>
      </c>
      <c r="K24" t="s">
        <v>31</v>
      </c>
      <c r="L24" t="s">
        <v>31</v>
      </c>
      <c r="M24" t="s">
        <v>31</v>
      </c>
      <c r="N24" t="s">
        <v>31</v>
      </c>
      <c r="Q24" t="s">
        <v>202</v>
      </c>
      <c r="S24" s="22"/>
      <c r="T24" s="22"/>
      <c r="U24" s="22"/>
      <c r="V24" s="22"/>
      <c r="W24" s="22"/>
      <c r="X24" s="22"/>
    </row>
    <row r="25" spans="1:24">
      <c r="A25" s="60" t="s">
        <v>273</v>
      </c>
      <c r="B25">
        <v>-1</v>
      </c>
      <c r="D25" t="s">
        <v>37</v>
      </c>
      <c r="E25" s="205" t="s">
        <v>40</v>
      </c>
      <c r="F25" s="205" t="s">
        <v>29</v>
      </c>
      <c r="G25" s="205" t="s">
        <v>58</v>
      </c>
      <c r="H25" s="205" t="s">
        <v>33</v>
      </c>
      <c r="I25">
        <v>1</v>
      </c>
      <c r="J25">
        <v>1</v>
      </c>
      <c r="K25" t="s">
        <v>31</v>
      </c>
      <c r="L25" t="s">
        <v>31</v>
      </c>
      <c r="M25" t="s">
        <v>31</v>
      </c>
      <c r="N25" t="s">
        <v>31</v>
      </c>
      <c r="Q25" s="22" t="s">
        <v>202</v>
      </c>
      <c r="S25" s="22"/>
      <c r="T25" s="22"/>
      <c r="U25" s="22"/>
      <c r="V25" s="22"/>
      <c r="W25" s="22"/>
      <c r="X25" s="22"/>
    </row>
    <row r="26" spans="1:24" s="41" customFormat="1">
      <c r="A26" s="206" t="s">
        <v>5</v>
      </c>
      <c r="B26" s="206" t="s">
        <v>274</v>
      </c>
      <c r="C26" s="206"/>
      <c r="D26" s="39"/>
      <c r="Q26" s="41" t="s">
        <v>202</v>
      </c>
      <c r="S26" s="207"/>
      <c r="T26" s="207"/>
      <c r="U26" s="207"/>
      <c r="V26" s="207"/>
      <c r="W26" s="207"/>
      <c r="X26" s="207"/>
    </row>
    <row r="27" spans="1:24">
      <c r="A27" t="s">
        <v>7</v>
      </c>
      <c r="B27" t="s">
        <v>203</v>
      </c>
      <c r="Q27" t="s">
        <v>202</v>
      </c>
      <c r="S27" s="22"/>
      <c r="T27" s="22"/>
      <c r="U27" s="22"/>
      <c r="V27" s="22"/>
      <c r="W27" s="22"/>
      <c r="X27" s="22"/>
    </row>
    <row r="28" spans="1:24">
      <c r="A28" t="s">
        <v>9</v>
      </c>
      <c r="B28" s="22" t="s">
        <v>275</v>
      </c>
      <c r="C28" s="22"/>
      <c r="Q28" t="s">
        <v>202</v>
      </c>
      <c r="S28" s="22"/>
      <c r="T28" s="22"/>
      <c r="U28" s="22"/>
      <c r="V28" s="22"/>
      <c r="W28" s="22"/>
      <c r="X28" s="22"/>
    </row>
    <row r="29" spans="1:24">
      <c r="A29" t="s">
        <v>11</v>
      </c>
      <c r="B29" t="s">
        <v>270</v>
      </c>
      <c r="Q29" t="s">
        <v>202</v>
      </c>
      <c r="S29" s="22"/>
      <c r="T29" s="22"/>
      <c r="U29" s="22"/>
      <c r="V29" s="22"/>
      <c r="W29" s="22"/>
      <c r="X29" s="22"/>
    </row>
    <row r="30" spans="1:24">
      <c r="A30" t="s">
        <v>13</v>
      </c>
      <c r="B30" t="s">
        <v>128</v>
      </c>
      <c r="Q30" t="s">
        <v>202</v>
      </c>
      <c r="S30" s="22"/>
      <c r="T30" s="22"/>
      <c r="U30" s="22"/>
      <c r="V30" s="22"/>
      <c r="W30" s="22"/>
      <c r="X30" s="22"/>
    </row>
    <row r="31" spans="1:24">
      <c r="A31" t="s">
        <v>15</v>
      </c>
      <c r="B31">
        <v>1</v>
      </c>
      <c r="Q31" t="s">
        <v>202</v>
      </c>
      <c r="S31" s="22"/>
      <c r="T31" s="22"/>
      <c r="U31" s="22"/>
      <c r="V31" s="22"/>
      <c r="W31" s="22"/>
      <c r="X31" s="22"/>
    </row>
    <row r="32" spans="1:24">
      <c r="A32" t="s">
        <v>16</v>
      </c>
      <c r="B32" t="s">
        <v>17</v>
      </c>
      <c r="Q32" t="s">
        <v>202</v>
      </c>
      <c r="S32" s="22"/>
      <c r="T32" s="22"/>
      <c r="U32" s="22"/>
      <c r="V32" s="22"/>
      <c r="W32" s="22"/>
      <c r="X32" s="22"/>
    </row>
    <row r="33" spans="1:24">
      <c r="A33" t="s">
        <v>18</v>
      </c>
      <c r="B33" t="str">
        <f>D36</f>
        <v>kilogram</v>
      </c>
      <c r="E33" t="s">
        <v>197</v>
      </c>
      <c r="Q33" t="s">
        <v>202</v>
      </c>
      <c r="S33" s="22"/>
      <c r="T33" s="22"/>
      <c r="U33" s="22"/>
      <c r="V33" s="22"/>
      <c r="W33" s="22"/>
      <c r="X33" s="22"/>
    </row>
    <row r="34" spans="1:24">
      <c r="A34" s="159" t="s">
        <v>19</v>
      </c>
      <c r="Q34" t="s">
        <v>202</v>
      </c>
      <c r="S34" s="22"/>
      <c r="T34" s="22"/>
      <c r="U34" s="22"/>
      <c r="V34" s="22"/>
      <c r="W34" s="22"/>
      <c r="X34" s="22"/>
    </row>
    <row r="35" spans="1:24">
      <c r="A35" s="159" t="s">
        <v>20</v>
      </c>
      <c r="B35" s="159" t="s">
        <v>21</v>
      </c>
      <c r="C35" s="159" t="s">
        <v>198</v>
      </c>
      <c r="D35" s="159" t="s">
        <v>18</v>
      </c>
      <c r="E35" s="159" t="s">
        <v>22</v>
      </c>
      <c r="F35" s="159" t="s">
        <v>7</v>
      </c>
      <c r="G35" s="159" t="s">
        <v>13</v>
      </c>
      <c r="H35" s="159" t="s">
        <v>16</v>
      </c>
      <c r="I35" s="159" t="s">
        <v>23</v>
      </c>
      <c r="J35" s="159" t="s">
        <v>24</v>
      </c>
      <c r="K35" s="159" t="s">
        <v>25</v>
      </c>
      <c r="L35" s="159" t="s">
        <v>26</v>
      </c>
      <c r="M35" s="159" t="s">
        <v>27</v>
      </c>
      <c r="N35" s="159" t="s">
        <v>28</v>
      </c>
      <c r="O35" s="159" t="s">
        <v>11</v>
      </c>
      <c r="P35" s="197" t="s">
        <v>206</v>
      </c>
      <c r="Q35" t="s">
        <v>202</v>
      </c>
      <c r="S35" s="22"/>
      <c r="T35" s="22"/>
      <c r="U35" s="22"/>
      <c r="V35" s="22"/>
      <c r="W35" s="22"/>
      <c r="X35" s="22"/>
    </row>
    <row r="36" spans="1:24">
      <c r="A36" t="s">
        <v>274</v>
      </c>
      <c r="B36">
        <v>1</v>
      </c>
      <c r="D36" t="s">
        <v>37</v>
      </c>
      <c r="E36" t="s">
        <v>2</v>
      </c>
      <c r="F36" t="s">
        <v>29</v>
      </c>
      <c r="G36" t="s">
        <v>128</v>
      </c>
      <c r="H36" t="s">
        <v>30</v>
      </c>
      <c r="I36">
        <v>1</v>
      </c>
      <c r="J36">
        <v>1</v>
      </c>
      <c r="K36" t="s">
        <v>31</v>
      </c>
      <c r="L36" t="s">
        <v>31</v>
      </c>
      <c r="M36" t="s">
        <v>31</v>
      </c>
      <c r="N36" t="s">
        <v>31</v>
      </c>
      <c r="Q36" t="s">
        <v>202</v>
      </c>
      <c r="S36" s="22"/>
      <c r="T36" s="22"/>
      <c r="U36" s="22"/>
      <c r="V36" s="22"/>
      <c r="W36" s="22"/>
      <c r="X36" s="22"/>
    </row>
    <row r="37" spans="1:24" s="255" customFormat="1">
      <c r="A37" s="254" t="s">
        <v>276</v>
      </c>
      <c r="B37" s="255">
        <v>-1</v>
      </c>
      <c r="C37" s="256"/>
      <c r="D37" s="255" t="s">
        <v>37</v>
      </c>
      <c r="E37" s="257" t="s">
        <v>40</v>
      </c>
      <c r="F37" s="257" t="s">
        <v>29</v>
      </c>
      <c r="G37" s="255" t="s">
        <v>128</v>
      </c>
      <c r="H37" s="257" t="s">
        <v>33</v>
      </c>
      <c r="I37" s="255">
        <v>1</v>
      </c>
      <c r="J37" s="255">
        <v>1</v>
      </c>
      <c r="K37" s="255" t="s">
        <v>31</v>
      </c>
      <c r="L37" s="255" t="s">
        <v>31</v>
      </c>
      <c r="M37" s="255" t="s">
        <v>31</v>
      </c>
      <c r="N37" s="255" t="s">
        <v>31</v>
      </c>
      <c r="Q37" s="258" t="s">
        <v>202</v>
      </c>
      <c r="S37" s="258"/>
      <c r="T37" s="258"/>
      <c r="U37" s="258"/>
      <c r="V37" s="258"/>
      <c r="W37" s="258"/>
      <c r="X37" s="258"/>
    </row>
    <row r="38" spans="1:24" s="253" customFormat="1">
      <c r="A38" s="259"/>
      <c r="C38" s="174"/>
      <c r="D38" s="174"/>
      <c r="E38" s="174"/>
      <c r="F38" s="174"/>
      <c r="G38" s="174"/>
      <c r="H38" s="174"/>
      <c r="Q38" s="259"/>
      <c r="R38" s="260"/>
      <c r="S38" s="174"/>
      <c r="T38" s="174"/>
    </row>
    <row r="39" spans="1:24" s="253" customFormat="1">
      <c r="A39" s="259"/>
      <c r="C39" s="174"/>
      <c r="D39" s="174"/>
      <c r="E39" s="174"/>
      <c r="F39" s="174"/>
      <c r="G39" s="174"/>
      <c r="Q39" s="259"/>
      <c r="R39" s="260"/>
      <c r="S39" s="174"/>
      <c r="T39" s="174"/>
    </row>
    <row r="40" spans="1:24" s="253" customFormat="1">
      <c r="A40" s="259"/>
      <c r="C40" s="174"/>
      <c r="D40" s="174"/>
      <c r="E40" s="174"/>
      <c r="F40" s="174"/>
      <c r="G40" s="174"/>
      <c r="Q40" s="259"/>
      <c r="R40" s="260"/>
      <c r="S40" s="174"/>
      <c r="T40" s="174"/>
    </row>
    <row r="41" spans="1:24" s="253" customFormat="1">
      <c r="A41" s="259"/>
      <c r="B41" s="260"/>
      <c r="C41" s="174"/>
      <c r="D41" s="174"/>
      <c r="E41" s="174"/>
      <c r="F41" s="174"/>
      <c r="G41" s="174"/>
      <c r="H41" s="174"/>
      <c r="Q41" s="261"/>
      <c r="R41" s="260"/>
      <c r="S41" s="174"/>
      <c r="T41" s="174"/>
    </row>
    <row r="42" spans="1:24" s="253" customFormat="1"/>
    <row r="43" spans="1:24" s="253" customFormat="1">
      <c r="A43" s="262"/>
      <c r="C43" s="174"/>
      <c r="D43" s="174"/>
      <c r="E43" s="174"/>
      <c r="F43" s="263"/>
      <c r="G43" s="174"/>
    </row>
    <row r="44" spans="1:24" s="253" customFormat="1">
      <c r="B44" s="260"/>
      <c r="H44" s="174"/>
    </row>
    <row r="45" spans="1:24" s="253" customFormat="1">
      <c r="B45" s="260"/>
    </row>
    <row r="46" spans="1:24" s="253" customFormat="1">
      <c r="B46" s="260"/>
    </row>
    <row r="47" spans="1:24" s="253" customFormat="1">
      <c r="B47" s="260"/>
      <c r="H47" s="174"/>
    </row>
    <row r="48" spans="1:24" s="253"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95619-54E7-4037-A9AC-F8239B252BB0}">
  <dimension ref="A1:R17"/>
  <sheetViews>
    <sheetView zoomScale="83" zoomScaleNormal="85" workbookViewId="0">
      <pane xSplit="1" topLeftCell="B1" activePane="topRight" state="frozen"/>
      <selection activeCell="A36" sqref="A36"/>
      <selection pane="topRight" activeCell="A36" sqref="A36"/>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0</v>
      </c>
      <c r="B1" s="23">
        <v>14</v>
      </c>
      <c r="C1" s="102" t="s">
        <v>277</v>
      </c>
      <c r="D1" s="102"/>
    </row>
    <row r="2" spans="1:18">
      <c r="A2" s="264" t="s">
        <v>5</v>
      </c>
      <c r="B2" s="265" t="s">
        <v>223</v>
      </c>
      <c r="C2" s="266"/>
      <c r="D2" s="266"/>
      <c r="E2" s="266"/>
      <c r="F2" s="266"/>
      <c r="G2" s="266"/>
      <c r="H2" s="266"/>
      <c r="I2" s="266"/>
      <c r="J2" s="266"/>
      <c r="K2" s="266"/>
      <c r="L2" s="266"/>
      <c r="M2" s="266"/>
      <c r="N2" s="267"/>
      <c r="R2" s="94"/>
    </row>
    <row r="3" spans="1:18">
      <c r="A3" s="268" t="s">
        <v>7</v>
      </c>
      <c r="B3" t="s">
        <v>224</v>
      </c>
      <c r="N3" s="67"/>
      <c r="R3" s="94"/>
    </row>
    <row r="4" spans="1:18">
      <c r="A4" s="268" t="s">
        <v>9</v>
      </c>
      <c r="B4" t="s">
        <v>278</v>
      </c>
      <c r="N4" s="67"/>
    </row>
    <row r="5" spans="1:18">
      <c r="A5" s="268" t="s">
        <v>11</v>
      </c>
      <c r="B5" t="s">
        <v>279</v>
      </c>
      <c r="N5" s="67"/>
      <c r="R5" s="94"/>
    </row>
    <row r="6" spans="1:18">
      <c r="A6" s="268" t="s">
        <v>13</v>
      </c>
      <c r="B6" t="s">
        <v>58</v>
      </c>
      <c r="N6" s="67"/>
      <c r="R6" s="94"/>
    </row>
    <row r="7" spans="1:18">
      <c r="A7" s="268" t="s">
        <v>15</v>
      </c>
      <c r="B7">
        <v>1</v>
      </c>
      <c r="N7" s="67"/>
      <c r="R7" s="94"/>
    </row>
    <row r="8" spans="1:18">
      <c r="A8" s="268" t="s">
        <v>16</v>
      </c>
      <c r="B8" t="s">
        <v>17</v>
      </c>
      <c r="N8" s="67"/>
    </row>
    <row r="9" spans="1:18">
      <c r="A9" s="268" t="s">
        <v>18</v>
      </c>
      <c r="B9" t="s">
        <v>37</v>
      </c>
      <c r="N9" s="67"/>
    </row>
    <row r="10" spans="1:18">
      <c r="A10" s="269" t="s">
        <v>19</v>
      </c>
      <c r="N10" s="67"/>
    </row>
    <row r="11" spans="1:18">
      <c r="A11" s="269" t="s">
        <v>20</v>
      </c>
      <c r="B11" s="159" t="s">
        <v>21</v>
      </c>
      <c r="C11" s="159" t="s">
        <v>18</v>
      </c>
      <c r="D11" s="159" t="s">
        <v>198</v>
      </c>
      <c r="E11" s="159" t="s">
        <v>22</v>
      </c>
      <c r="F11" s="159" t="s">
        <v>7</v>
      </c>
      <c r="G11" s="159" t="s">
        <v>13</v>
      </c>
      <c r="H11" s="159" t="s">
        <v>16</v>
      </c>
      <c r="I11" s="159" t="s">
        <v>23</v>
      </c>
      <c r="J11" s="159" t="s">
        <v>24</v>
      </c>
      <c r="K11" s="159" t="s">
        <v>25</v>
      </c>
      <c r="L11" s="159" t="s">
        <v>26</v>
      </c>
      <c r="M11" s="159" t="s">
        <v>27</v>
      </c>
      <c r="N11" s="270" t="s">
        <v>28</v>
      </c>
    </row>
    <row r="12" spans="1:18">
      <c r="A12" s="268" t="str">
        <f>B2</f>
        <v>SAF production, medium-term, proxy</v>
      </c>
      <c r="B12">
        <v>1</v>
      </c>
      <c r="C12" t="s">
        <v>37</v>
      </c>
      <c r="E12" t="s">
        <v>2</v>
      </c>
      <c r="F12" t="s">
        <v>29</v>
      </c>
      <c r="G12" t="s">
        <v>58</v>
      </c>
      <c r="H12" t="s">
        <v>30</v>
      </c>
      <c r="I12">
        <v>1</v>
      </c>
      <c r="J12" t="s">
        <v>31</v>
      </c>
      <c r="K12" t="s">
        <v>31</v>
      </c>
      <c r="L12" t="s">
        <v>31</v>
      </c>
      <c r="M12" t="s">
        <v>31</v>
      </c>
      <c r="N12" t="s">
        <v>31</v>
      </c>
    </row>
    <row r="13" spans="1:18">
      <c r="A13" s="268" t="s">
        <v>229</v>
      </c>
      <c r="B13">
        <v>-3.1</v>
      </c>
      <c r="C13" t="s">
        <v>37</v>
      </c>
      <c r="E13" t="s">
        <v>43</v>
      </c>
      <c r="F13" t="s">
        <v>44</v>
      </c>
      <c r="G13" t="s">
        <v>29</v>
      </c>
      <c r="H13" t="s">
        <v>45</v>
      </c>
      <c r="I13">
        <v>0</v>
      </c>
      <c r="J13" t="s">
        <v>31</v>
      </c>
      <c r="K13" t="s">
        <v>31</v>
      </c>
      <c r="L13" t="s">
        <v>31</v>
      </c>
      <c r="M13" t="s">
        <v>31</v>
      </c>
      <c r="N13" t="s">
        <v>31</v>
      </c>
      <c r="O13" t="s">
        <v>280</v>
      </c>
    </row>
    <row r="14" spans="1:18">
      <c r="A14" s="94" t="s">
        <v>281</v>
      </c>
      <c r="B14">
        <v>0.92</v>
      </c>
      <c r="C14" t="s">
        <v>37</v>
      </c>
      <c r="D14" s="94" t="s">
        <v>282</v>
      </c>
      <c r="E14" s="42" t="s">
        <v>40</v>
      </c>
      <c r="F14" t="s">
        <v>29</v>
      </c>
      <c r="G14" t="s">
        <v>283</v>
      </c>
      <c r="H14" t="s">
        <v>33</v>
      </c>
      <c r="I14">
        <v>0</v>
      </c>
      <c r="J14" t="s">
        <v>31</v>
      </c>
      <c r="K14" t="s">
        <v>31</v>
      </c>
      <c r="L14" t="s">
        <v>31</v>
      </c>
      <c r="M14" t="s">
        <v>31</v>
      </c>
      <c r="N14" t="s">
        <v>31</v>
      </c>
      <c r="O14" t="s">
        <v>284</v>
      </c>
    </row>
    <row r="15" spans="1:18">
      <c r="A15" s="268" t="s">
        <v>285</v>
      </c>
      <c r="B15">
        <f>($B$12-$B$14)*1/3</f>
        <v>2.6666666666666655E-2</v>
      </c>
      <c r="C15" t="s">
        <v>37</v>
      </c>
      <c r="E15" s="42" t="s">
        <v>40</v>
      </c>
      <c r="F15" t="s">
        <v>29</v>
      </c>
      <c r="G15" t="s">
        <v>35</v>
      </c>
      <c r="H15" t="s">
        <v>33</v>
      </c>
      <c r="I15">
        <v>0</v>
      </c>
      <c r="J15" t="s">
        <v>31</v>
      </c>
      <c r="K15" t="s">
        <v>31</v>
      </c>
      <c r="L15" t="s">
        <v>31</v>
      </c>
      <c r="M15" t="s">
        <v>31</v>
      </c>
      <c r="N15" t="s">
        <v>31</v>
      </c>
      <c r="O15" t="s">
        <v>286</v>
      </c>
    </row>
    <row r="16" spans="1:18">
      <c r="A16" s="268" t="s">
        <v>287</v>
      </c>
      <c r="B16">
        <f>($B$12-$B$14)*1/3</f>
        <v>2.6666666666666655E-2</v>
      </c>
      <c r="C16" t="s">
        <v>37</v>
      </c>
      <c r="E16" s="42" t="s">
        <v>40</v>
      </c>
      <c r="F16" t="s">
        <v>29</v>
      </c>
      <c r="G16" t="s">
        <v>35</v>
      </c>
      <c r="H16" t="s">
        <v>33</v>
      </c>
      <c r="I16">
        <v>0</v>
      </c>
      <c r="J16" t="s">
        <v>31</v>
      </c>
      <c r="K16" t="s">
        <v>31</v>
      </c>
      <c r="L16" t="s">
        <v>31</v>
      </c>
      <c r="M16" t="s">
        <v>31</v>
      </c>
      <c r="N16" t="s">
        <v>31</v>
      </c>
      <c r="O16" t="s">
        <v>288</v>
      </c>
    </row>
    <row r="17" spans="1:15">
      <c r="A17" t="s">
        <v>289</v>
      </c>
      <c r="B17">
        <f>($B$12-$B$14)*1/3</f>
        <v>2.6666666666666655E-2</v>
      </c>
      <c r="C17" t="s">
        <v>37</v>
      </c>
      <c r="D17" s="94"/>
      <c r="E17" s="42" t="s">
        <v>40</v>
      </c>
      <c r="F17" t="s">
        <v>29</v>
      </c>
      <c r="G17" t="s">
        <v>35</v>
      </c>
      <c r="H17" t="s">
        <v>33</v>
      </c>
      <c r="I17">
        <v>0</v>
      </c>
      <c r="J17" t="s">
        <v>31</v>
      </c>
      <c r="K17" t="s">
        <v>31</v>
      </c>
      <c r="L17" t="s">
        <v>31</v>
      </c>
      <c r="M17" t="s">
        <v>31</v>
      </c>
      <c r="N17" t="s">
        <v>31</v>
      </c>
      <c r="O17" t="s">
        <v>290</v>
      </c>
    </row>
  </sheetData>
  <pageMargins left="0.7" right="0.7" top="0.75" bottom="0.75" header="0.3" footer="0.3"/>
  <pageSetup orientation="portrait" horizontalDpi="1200" verticalDpi="1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E2F053-74BD-4D42-8FCC-731AE0019118}"/>
</file>

<file path=customXml/itemProps2.xml><?xml version="1.0" encoding="utf-8"?>
<ds:datastoreItem xmlns:ds="http://schemas.openxmlformats.org/officeDocument/2006/customXml" ds:itemID="{36F7B80F-DF29-4B25-8929-231CCF26BB64}">
  <ds:schemaRefs>
    <ds:schemaRef ds:uri="http://schemas.microsoft.com/office/2006/metadata/properties"/>
    <ds:schemaRef ds:uri="http://schemas.microsoft.com/office/infopath/2007/PartnerControls"/>
    <ds:schemaRef ds:uri="d9e37eb4-c6bb-4629-be18-95901fa69551"/>
    <ds:schemaRef ds:uri="3e967a12-6289-42ca-b82d-6fdfb36083b1"/>
  </ds:schemaRefs>
</ds:datastoreItem>
</file>

<file path=customXml/itemProps3.xml><?xml version="1.0" encoding="utf-8"?>
<ds:datastoreItem xmlns:ds="http://schemas.openxmlformats.org/officeDocument/2006/customXml" ds:itemID="{CEFC012B-D11A-464B-A816-788BC2BB1D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Use</vt:lpstr>
      <vt:lpstr>Aircraft</vt:lpstr>
      <vt:lpstr>Airport_use</vt:lpstr>
      <vt:lpstr>Airport_construction</vt:lpstr>
      <vt:lpstr>Airport_decommission </vt:lpstr>
      <vt:lpstr>MAIN EoL</vt:lpstr>
      <vt:lpstr>Powerplant</vt:lpstr>
      <vt:lpstr>Powerplant treatment processes</vt:lpstr>
      <vt:lpstr>SAF</vt:lpstr>
      <vt:lpstr>production of battery Li-S</vt:lpstr>
      <vt:lpstr>battery EoL Li-ion</vt:lpstr>
      <vt:lpstr>PEMFC</vt:lpstr>
      <vt:lpstr>H2_storage</vt:lpstr>
      <vt:lpstr>1. MOTORS AND DRIVES</vt:lpstr>
      <vt:lpstr>2.POWER ELECTRONICS</vt:lpstr>
      <vt:lpstr>2. ALL Waste processes</vt:lpstr>
      <vt:lpstr>2. ALL Driver Board</vt:lpstr>
      <vt:lpstr>2. ALL Logic Board</vt:lpstr>
      <vt:lpstr>2A. DCAC GRID INVERTER</vt:lpstr>
      <vt:lpstr>2A. Reusable</vt:lpstr>
      <vt:lpstr>2A. Cable glands</vt:lpstr>
      <vt:lpstr>2A. Machined casing</vt:lpstr>
      <vt:lpstr>2A. IGBT power module</vt:lpstr>
      <vt:lpstr>2B. ISOLATING DCDC CONVERTER</vt:lpstr>
      <vt:lpstr>2B. Reusable</vt:lpstr>
      <vt:lpstr>2B. Cable glands</vt:lpstr>
      <vt:lpstr>2B. Machined casing</vt:lpstr>
      <vt:lpstr>2B. IGBT power module</vt:lpstr>
      <vt:lpstr>2C. N-ISOLATING DCDC CONVERTER</vt:lpstr>
      <vt:lpstr>2C. Reusable</vt:lpstr>
      <vt:lpstr>2C. Cable glands</vt:lpstr>
      <vt:lpstr>2C. Machined casing</vt:lpstr>
      <vt:lpstr>2C. IGBT power module</vt:lpstr>
      <vt:lpstr>2D. MOTOR DRIVE INVERTER</vt:lpstr>
      <vt:lpstr>2D. Reusable</vt:lpstr>
      <vt:lpstr>2D. Cable glands</vt:lpstr>
      <vt:lpstr>2D. Machined casing</vt:lpstr>
      <vt:lpstr>2D. IGBT power module</vt:lpstr>
      <vt:lpstr>2E. BATTERY DCDC CONVERTER</vt:lpstr>
      <vt:lpstr>2E. Reusable</vt:lpstr>
      <vt:lpstr>2E. Cable glands</vt:lpstr>
      <vt:lpstr>2E. Machined casing</vt:lpstr>
      <vt:lpstr>2E. IGBT power module</vt:lpstr>
      <vt:lpstr>Power elec EoL LCI</vt:lpstr>
      <vt:lpstr>motors and drives EoL LCI</vt:lpstr>
      <vt:lpstr>powerplant EoL LCI</vt:lpstr>
      <vt:lpstr>airframe EoL LCI</vt:lpstr>
      <vt:lpstr>H2 storage EoL</vt:lpstr>
      <vt:lpstr>PEMFC EoL</vt:lpstr>
      <vt:lpstr>Airframe</vt:lpstr>
      <vt:lpstr>Systems</vt:lpstr>
      <vt:lpstr>Furnishing</vt:lpstr>
      <vt:lpstr>Operative equipment</vt:lpstr>
      <vt:lpstr>H2_production</vt:lpstr>
      <vt:lpstr>Electrolyzer_construction</vt:lpstr>
      <vt:lpstr>Electrolyzer EoL</vt:lpstr>
      <vt:lpstr>Liquefaction_system_constructio</vt:lpstr>
      <vt:lpstr>Liq_sys_Eol</vt:lpstr>
      <vt:lpstr>H2_transport</vt:lpstr>
      <vt:lpstr>H2_storage_tank_EoL</vt:lpstr>
      <vt:lpstr>Main</vt:lpstr>
      <vt:lpstr>converters</vt:lpstr>
      <vt:lpstr>rest</vt:lpstr>
      <vt:lpstr>CHARGING STATION</vt:lpstr>
      <vt:lpstr>A&amp;B Same Processes</vt:lpstr>
      <vt:lpstr>A&amp;B Driver Board </vt:lpstr>
      <vt:lpstr>A&amp;B Logic board</vt:lpstr>
      <vt:lpstr>A. ACDC POWER MODULE </vt:lpstr>
      <vt:lpstr>A.Reused</vt:lpstr>
      <vt:lpstr>A. Cable glands</vt:lpstr>
      <vt:lpstr>A. Machined casing</vt:lpstr>
      <vt:lpstr>A. IGBT power module</vt:lpstr>
      <vt:lpstr>B. DCDC POWER MODULE </vt:lpstr>
      <vt:lpstr>B.Reused</vt:lpstr>
      <vt:lpstr>B. Cable glands</vt:lpstr>
      <vt:lpstr>B. Machined casing</vt:lpstr>
      <vt:lpstr>B. IGBT power module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2023-06-23T14:11:52Z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