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Medium_term/Conventional/"/>
    </mc:Choice>
  </mc:AlternateContent>
  <xr:revisionPtr revIDLastSave="1911" documentId="8_{46D448AD-18E0-4123-883C-99FE432E0328}" xr6:coauthVersionLast="47" xr6:coauthVersionMax="47" xr10:uidLastSave="{CA907A31-B2CC-4C01-B39E-86C4A89C61D1}"/>
  <bookViews>
    <workbookView xWindow="-28920" yWindow="-120" windowWidth="29040" windowHeight="15840" firstSheet="4" activeTab="6" xr2:uid="{00000000-000D-0000-FFFF-FFFF00000000}"/>
  </bookViews>
  <sheets>
    <sheet name="Use" sheetId="35" r:id="rId1"/>
    <sheet name="Airport_use" sheetId="39" r:id="rId2"/>
    <sheet name="Airport_construction" sheetId="40" r:id="rId3"/>
    <sheet name="Airport_decommission " sheetId="41" r:id="rId4"/>
    <sheet name="Aircraft" sheetId="30" r:id="rId5"/>
    <sheet name="SAF" sheetId="42" r:id="rId6"/>
    <sheet name="1. processes" sheetId="43" r:id="rId7"/>
    <sheet name="2. treatment processes" sheetId="44" r:id="rId8"/>
    <sheet name="Airframe" sheetId="29" r:id="rId9"/>
    <sheet name="Systems" sheetId="31" r:id="rId10"/>
    <sheet name="Furnishing" sheetId="32" r:id="rId11"/>
    <sheet name="Operative equipment" sheetId="33" r:id="rId12"/>
    <sheet name="MAIN EoL" sheetId="36" r:id="rId13"/>
    <sheet name="powerplant EoL LCI" sheetId="37" r:id="rId14"/>
    <sheet name="airframe EoL LCI" sheetId="38"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 i="35" l="1"/>
  <c r="B33" i="44" l="1"/>
  <c r="J396" i="43"/>
  <c r="J395" i="43"/>
  <c r="J394" i="43"/>
  <c r="J393" i="43"/>
  <c r="J392" i="43"/>
  <c r="J391" i="43"/>
  <c r="J390" i="43"/>
  <c r="W389" i="43"/>
  <c r="B389" i="43" s="1"/>
  <c r="J389" i="43" s="1"/>
  <c r="U389" i="43"/>
  <c r="U388" i="43"/>
  <c r="W388" i="43" s="1"/>
  <c r="J388" i="43"/>
  <c r="W387" i="43"/>
  <c r="U387" i="43"/>
  <c r="J387" i="43"/>
  <c r="U386" i="43"/>
  <c r="J386" i="43"/>
  <c r="U385" i="43"/>
  <c r="W385" i="43" s="1"/>
  <c r="J385" i="43"/>
  <c r="J384" i="43"/>
  <c r="J383" i="43"/>
  <c r="J382" i="43"/>
  <c r="J381" i="43"/>
  <c r="J380" i="43"/>
  <c r="J379" i="43"/>
  <c r="J378" i="43"/>
  <c r="J377" i="43"/>
  <c r="J376" i="43"/>
  <c r="J375" i="43"/>
  <c r="J374" i="43"/>
  <c r="J373" i="43"/>
  <c r="J372" i="43"/>
  <c r="J371" i="43"/>
  <c r="J370" i="43"/>
  <c r="J369" i="43"/>
  <c r="J368" i="43"/>
  <c r="J367" i="43"/>
  <c r="J366" i="43"/>
  <c r="J365" i="43"/>
  <c r="J364" i="43"/>
  <c r="J363" i="43"/>
  <c r="J362" i="43"/>
  <c r="J350" i="43"/>
  <c r="J349" i="43"/>
  <c r="J348" i="43"/>
  <c r="J347" i="43"/>
  <c r="J346" i="43"/>
  <c r="J345" i="43"/>
  <c r="J344" i="43"/>
  <c r="U343" i="43"/>
  <c r="W343" i="43" s="1"/>
  <c r="B343" i="43" s="1"/>
  <c r="J343" i="43" s="1"/>
  <c r="U342" i="43"/>
  <c r="W342" i="43" s="1"/>
  <c r="J342" i="43"/>
  <c r="W341" i="43"/>
  <c r="U341" i="43"/>
  <c r="J341" i="43"/>
  <c r="U340" i="43"/>
  <c r="J340" i="43"/>
  <c r="U339" i="43"/>
  <c r="W339" i="43" s="1"/>
  <c r="J339" i="43"/>
  <c r="J338" i="43"/>
  <c r="J337" i="43"/>
  <c r="J336" i="43"/>
  <c r="J335" i="43"/>
  <c r="J334" i="43"/>
  <c r="J333" i="43"/>
  <c r="J332" i="43"/>
  <c r="J331" i="43"/>
  <c r="J330" i="43"/>
  <c r="J329" i="43"/>
  <c r="J317" i="43"/>
  <c r="J316" i="43"/>
  <c r="J315" i="43"/>
  <c r="J314" i="43"/>
  <c r="J313" i="43"/>
  <c r="J312" i="43"/>
  <c r="J311" i="43"/>
  <c r="W310" i="43"/>
  <c r="B310" i="43" s="1"/>
  <c r="J310" i="43" s="1"/>
  <c r="U310" i="43"/>
  <c r="U309" i="43"/>
  <c r="W309" i="43" s="1"/>
  <c r="J309" i="43"/>
  <c r="U308" i="43"/>
  <c r="W308" i="43" s="1"/>
  <c r="J308" i="43"/>
  <c r="U307" i="43"/>
  <c r="J307" i="43"/>
  <c r="U306" i="43"/>
  <c r="W306" i="43" s="1"/>
  <c r="J306" i="43"/>
  <c r="J305" i="43"/>
  <c r="J304" i="43"/>
  <c r="J303" i="43"/>
  <c r="J302" i="43"/>
  <c r="J301" i="43"/>
  <c r="J300" i="43"/>
  <c r="J299" i="43"/>
  <c r="J298" i="43"/>
  <c r="J297" i="43"/>
  <c r="J285" i="43"/>
  <c r="J284" i="43"/>
  <c r="J283" i="43"/>
  <c r="J282" i="43"/>
  <c r="J281" i="43"/>
  <c r="J280" i="43"/>
  <c r="J279" i="43"/>
  <c r="W278" i="43"/>
  <c r="B278" i="43" s="1"/>
  <c r="J278" i="43" s="1"/>
  <c r="U278" i="43"/>
  <c r="U277" i="43"/>
  <c r="W277" i="43" s="1"/>
  <c r="J277" i="43"/>
  <c r="U276" i="43"/>
  <c r="W276" i="43" s="1"/>
  <c r="J276" i="43"/>
  <c r="U275" i="43"/>
  <c r="J275" i="43"/>
  <c r="U274" i="43"/>
  <c r="W274" i="43" s="1"/>
  <c r="J274" i="43"/>
  <c r="J273" i="43"/>
  <c r="J272" i="43"/>
  <c r="U271" i="43"/>
  <c r="W271" i="43" s="1"/>
  <c r="J271" i="43"/>
  <c r="J270" i="43"/>
  <c r="J269" i="43"/>
  <c r="U268" i="43"/>
  <c r="W268" i="43" s="1"/>
  <c r="J268" i="43"/>
  <c r="J256" i="43"/>
  <c r="J255" i="43"/>
  <c r="J254" i="43"/>
  <c r="J253" i="43"/>
  <c r="J252" i="43"/>
  <c r="J251" i="43"/>
  <c r="J250" i="43"/>
  <c r="U249" i="43"/>
  <c r="W249" i="43" s="1"/>
  <c r="B249" i="43" s="1"/>
  <c r="J249" i="43" s="1"/>
  <c r="W248" i="43"/>
  <c r="U248" i="43"/>
  <c r="J248" i="43"/>
  <c r="U247" i="43"/>
  <c r="W247" i="43" s="1"/>
  <c r="J247" i="43"/>
  <c r="U246" i="43"/>
  <c r="J246" i="43"/>
  <c r="W245" i="43"/>
  <c r="U245" i="43"/>
  <c r="J245" i="43"/>
  <c r="J244" i="43"/>
  <c r="J243" i="43"/>
  <c r="J242" i="43"/>
  <c r="B241" i="43"/>
  <c r="J241" i="43" s="1"/>
  <c r="J229" i="43"/>
  <c r="J228" i="43"/>
  <c r="J227" i="43"/>
  <c r="J226" i="43"/>
  <c r="J225" i="43"/>
  <c r="J224" i="43"/>
  <c r="J223" i="43"/>
  <c r="U222" i="43"/>
  <c r="W222" i="43" s="1"/>
  <c r="B222" i="43" s="1"/>
  <c r="J222" i="43" s="1"/>
  <c r="W221" i="43"/>
  <c r="B221" i="43" s="1"/>
  <c r="J221" i="43" s="1"/>
  <c r="U221" i="43"/>
  <c r="W220" i="43"/>
  <c r="B220" i="43" s="1"/>
  <c r="J220" i="43" s="1"/>
  <c r="U220" i="43"/>
  <c r="U219" i="43"/>
  <c r="B219" i="43" s="1"/>
  <c r="J219" i="43" s="1"/>
  <c r="U218" i="43"/>
  <c r="W218" i="43" s="1"/>
  <c r="B218" i="43" s="1"/>
  <c r="J218" i="43" s="1"/>
  <c r="J217" i="43"/>
  <c r="J216" i="43"/>
  <c r="J215" i="43"/>
  <c r="J214" i="43"/>
  <c r="J213" i="43"/>
  <c r="J212" i="43"/>
  <c r="J200" i="43"/>
  <c r="J199" i="43"/>
  <c r="J198" i="43"/>
  <c r="J197" i="43"/>
  <c r="J196" i="43"/>
  <c r="J195" i="43"/>
  <c r="B194" i="43"/>
  <c r="J194" i="43" s="1"/>
  <c r="U193" i="43"/>
  <c r="W193" i="43" s="1"/>
  <c r="B193" i="43" s="1"/>
  <c r="J193" i="43" s="1"/>
  <c r="W192" i="43"/>
  <c r="B192" i="43" s="1"/>
  <c r="J192" i="43" s="1"/>
  <c r="U192" i="43"/>
  <c r="U191" i="43"/>
  <c r="W191" i="43" s="1"/>
  <c r="B191" i="43" s="1"/>
  <c r="J191" i="43" s="1"/>
  <c r="U190" i="43"/>
  <c r="B190" i="43" s="1"/>
  <c r="J190" i="43" s="1"/>
  <c r="U189" i="43"/>
  <c r="W189" i="43" s="1"/>
  <c r="B189" i="43" s="1"/>
  <c r="J189" i="43" s="1"/>
  <c r="J188" i="43"/>
  <c r="B186" i="43"/>
  <c r="J186" i="43" s="1"/>
  <c r="B181" i="43"/>
  <c r="B185" i="43" s="1"/>
  <c r="J185" i="43" s="1"/>
  <c r="J180" i="43"/>
  <c r="B180" i="43"/>
  <c r="B184" i="43" s="1"/>
  <c r="J184" i="43" s="1"/>
  <c r="J179" i="43"/>
  <c r="B179" i="43"/>
  <c r="B182" i="43" s="1"/>
  <c r="J182" i="43" s="1"/>
  <c r="J167" i="43"/>
  <c r="J166" i="43"/>
  <c r="J165" i="43"/>
  <c r="J164" i="43"/>
  <c r="J163" i="43"/>
  <c r="J162" i="43"/>
  <c r="J161" i="43"/>
  <c r="B161" i="43"/>
  <c r="U160" i="43"/>
  <c r="W160" i="43" s="1"/>
  <c r="J160" i="43"/>
  <c r="U159" i="43"/>
  <c r="W159" i="43" s="1"/>
  <c r="J159" i="43"/>
  <c r="W158" i="43"/>
  <c r="U158" i="43"/>
  <c r="J158" i="43"/>
  <c r="U157" i="43"/>
  <c r="J157" i="43"/>
  <c r="U156" i="43"/>
  <c r="W156" i="43" s="1"/>
  <c r="J156" i="43"/>
  <c r="J155" i="43"/>
  <c r="B152" i="43"/>
  <c r="J152" i="43" s="1"/>
  <c r="J149" i="43"/>
  <c r="B149" i="43"/>
  <c r="B153" i="43" s="1"/>
  <c r="J153" i="43" s="1"/>
  <c r="B148" i="43"/>
  <c r="J148" i="43" s="1"/>
  <c r="J136" i="43"/>
  <c r="J135" i="43"/>
  <c r="J134" i="43"/>
  <c r="J133" i="43"/>
  <c r="J132" i="43"/>
  <c r="J131" i="43"/>
  <c r="B130" i="43"/>
  <c r="J130" i="43" s="1"/>
  <c r="U129" i="43"/>
  <c r="W129" i="43" s="1"/>
  <c r="J129" i="43"/>
  <c r="U128" i="43"/>
  <c r="W128" i="43" s="1"/>
  <c r="J128" i="43"/>
  <c r="U127" i="43"/>
  <c r="W127" i="43" s="1"/>
  <c r="J127" i="43"/>
  <c r="U126" i="43"/>
  <c r="J126" i="43"/>
  <c r="U125" i="43"/>
  <c r="W125" i="43" s="1"/>
  <c r="J125" i="43"/>
  <c r="J124" i="43"/>
  <c r="B117" i="43"/>
  <c r="J117" i="43" s="1"/>
  <c r="B116" i="43"/>
  <c r="B123" i="43" s="1"/>
  <c r="J123" i="43" s="1"/>
  <c r="B115" i="43"/>
  <c r="B120" i="43" s="1"/>
  <c r="J114" i="43"/>
  <c r="B114" i="43"/>
  <c r="J102" i="43"/>
  <c r="J101" i="43"/>
  <c r="J100" i="43"/>
  <c r="J99" i="43"/>
  <c r="J98" i="43"/>
  <c r="J97" i="43"/>
  <c r="J96" i="43"/>
  <c r="B96" i="43"/>
  <c r="U95" i="43"/>
  <c r="W95" i="43" s="1"/>
  <c r="J95" i="43"/>
  <c r="U94" i="43"/>
  <c r="W94" i="43" s="1"/>
  <c r="J94" i="43"/>
  <c r="U93" i="43"/>
  <c r="W93" i="43" s="1"/>
  <c r="J93" i="43"/>
  <c r="U92" i="43"/>
  <c r="J92" i="43"/>
  <c r="U91" i="43"/>
  <c r="W91" i="43" s="1"/>
  <c r="J91" i="43"/>
  <c r="J90" i="43"/>
  <c r="B85" i="43"/>
  <c r="J85" i="43" s="1"/>
  <c r="B72" i="43"/>
  <c r="B88" i="43" s="1"/>
  <c r="J88" i="43" s="1"/>
  <c r="J71" i="43"/>
  <c r="B71" i="43"/>
  <c r="B86" i="43" s="1"/>
  <c r="J86" i="43" s="1"/>
  <c r="J70" i="43"/>
  <c r="B70" i="43"/>
  <c r="B82" i="43" s="1"/>
  <c r="J82" i="43" s="1"/>
  <c r="B69" i="43"/>
  <c r="B81" i="43" s="1"/>
  <c r="J81" i="43" s="1"/>
  <c r="B68" i="43"/>
  <c r="B78" i="43" s="1"/>
  <c r="B67" i="43"/>
  <c r="B75" i="43" s="1"/>
  <c r="J75" i="43" s="1"/>
  <c r="J55" i="43"/>
  <c r="J54" i="43"/>
  <c r="J53" i="43"/>
  <c r="J52" i="43"/>
  <c r="J51" i="43"/>
  <c r="J50" i="43"/>
  <c r="B49" i="43"/>
  <c r="J49" i="43" s="1"/>
  <c r="W48" i="43"/>
  <c r="U48" i="43"/>
  <c r="J48" i="43"/>
  <c r="W47" i="43"/>
  <c r="U47" i="43"/>
  <c r="J47" i="43"/>
  <c r="U46" i="43"/>
  <c r="W46" i="43" s="1"/>
  <c r="J46" i="43"/>
  <c r="U45" i="43"/>
  <c r="J45" i="43"/>
  <c r="W44" i="43"/>
  <c r="U44" i="43"/>
  <c r="J44" i="43"/>
  <c r="J43" i="43"/>
  <c r="J42" i="43"/>
  <c r="J41" i="43"/>
  <c r="J29" i="43"/>
  <c r="J28" i="43"/>
  <c r="J27" i="43"/>
  <c r="J26" i="43"/>
  <c r="J25" i="43"/>
  <c r="J24" i="43"/>
  <c r="B23" i="43"/>
  <c r="J23" i="43" s="1"/>
  <c r="U22" i="43"/>
  <c r="W22" i="43" s="1"/>
  <c r="J22" i="43"/>
  <c r="U21" i="43"/>
  <c r="W21" i="43" s="1"/>
  <c r="J21" i="43"/>
  <c r="U20" i="43"/>
  <c r="W20" i="43" s="1"/>
  <c r="J20" i="43"/>
  <c r="U19" i="43"/>
  <c r="J19" i="43"/>
  <c r="U18" i="43"/>
  <c r="W18" i="43" s="1"/>
  <c r="J18" i="43"/>
  <c r="J17" i="43"/>
  <c r="J16" i="43"/>
  <c r="J15" i="43"/>
  <c r="J14" i="43"/>
  <c r="J13" i="43"/>
  <c r="J67" i="43" l="1"/>
  <c r="J72" i="43"/>
  <c r="B121" i="43"/>
  <c r="J121" i="43" s="1"/>
  <c r="J181" i="43"/>
  <c r="J68" i="43"/>
  <c r="B73" i="43"/>
  <c r="J73" i="43" s="1"/>
  <c r="B89" i="43"/>
  <c r="J89" i="43" s="1"/>
  <c r="J116" i="43"/>
  <c r="J78" i="43"/>
  <c r="S76" i="43"/>
  <c r="U76" i="43" s="1"/>
  <c r="B76" i="43" s="1"/>
  <c r="J76" i="43" s="1"/>
  <c r="S77" i="43"/>
  <c r="U77" i="43" s="1"/>
  <c r="B77" i="43" s="1"/>
  <c r="J77" i="43" s="1"/>
  <c r="S78" i="43"/>
  <c r="J120" i="43"/>
  <c r="S119" i="43"/>
  <c r="U119" i="43" s="1"/>
  <c r="B119" i="43" s="1"/>
  <c r="J119" i="43" s="1"/>
  <c r="S118" i="43"/>
  <c r="U118" i="43" s="1"/>
  <c r="B118" i="43" s="1"/>
  <c r="J118" i="43" s="1"/>
  <c r="J69" i="43"/>
  <c r="B79" i="43"/>
  <c r="J79" i="43" s="1"/>
  <c r="B83" i="43"/>
  <c r="J83" i="43" s="1"/>
  <c r="B87" i="43"/>
  <c r="J87" i="43" s="1"/>
  <c r="J115" i="43"/>
  <c r="B150" i="43"/>
  <c r="J150" i="43" s="1"/>
  <c r="B154" i="43"/>
  <c r="J154" i="43" s="1"/>
  <c r="B74" i="43"/>
  <c r="J74" i="43" s="1"/>
  <c r="B122" i="43"/>
  <c r="J122" i="43" s="1"/>
  <c r="B183" i="43"/>
  <c r="J183" i="43" s="1"/>
  <c r="B187" i="43"/>
  <c r="J187" i="43" s="1"/>
  <c r="B80" i="43"/>
  <c r="J80" i="43" s="1"/>
  <c r="B84" i="43"/>
  <c r="J84" i="43" s="1"/>
  <c r="B151" i="43"/>
  <c r="J151" i="43" s="1"/>
  <c r="B54" i="41" l="1"/>
  <c r="I54" i="41" s="1"/>
  <c r="B53" i="41"/>
  <c r="I53" i="41" s="1"/>
  <c r="F52" i="41"/>
  <c r="C52" i="41"/>
  <c r="B52" i="41"/>
  <c r="I52" i="41" s="1"/>
  <c r="B41" i="41"/>
  <c r="I41" i="41" s="1"/>
  <c r="I40" i="41"/>
  <c r="B40" i="41"/>
  <c r="F39" i="41"/>
  <c r="C39" i="41"/>
  <c r="B39" i="41"/>
  <c r="I39" i="41" s="1"/>
  <c r="B28" i="41"/>
  <c r="I28" i="41" s="1"/>
  <c r="I27" i="41"/>
  <c r="B27" i="41"/>
  <c r="F26" i="41"/>
  <c r="C26" i="41"/>
  <c r="B26" i="41"/>
  <c r="I26" i="41" s="1"/>
  <c r="B15" i="41"/>
  <c r="I15" i="41" s="1"/>
  <c r="B13" i="41"/>
  <c r="I13" i="41" s="1"/>
  <c r="F12" i="41"/>
  <c r="C12" i="41"/>
  <c r="B12" i="41"/>
  <c r="I12" i="41" s="1"/>
  <c r="Q8" i="41"/>
  <c r="Q7" i="41"/>
  <c r="B14" i="41" s="1"/>
  <c r="I14" i="41" s="1"/>
  <c r="Q6" i="41"/>
  <c r="Q5" i="41"/>
  <c r="I200" i="40"/>
  <c r="I199" i="40"/>
  <c r="F199" i="40"/>
  <c r="C199" i="40"/>
  <c r="B199" i="40"/>
  <c r="B188" i="40"/>
  <c r="I188" i="40" s="1"/>
  <c r="I187" i="40"/>
  <c r="B187" i="40"/>
  <c r="I186" i="40"/>
  <c r="B186" i="40"/>
  <c r="I185" i="40"/>
  <c r="B185" i="40"/>
  <c r="I182" i="40"/>
  <c r="B182" i="40"/>
  <c r="I181" i="40"/>
  <c r="F180" i="40"/>
  <c r="C180" i="40"/>
  <c r="B180" i="40"/>
  <c r="I180" i="40" s="1"/>
  <c r="B169" i="40"/>
  <c r="I169" i="40" s="1"/>
  <c r="B168" i="40"/>
  <c r="I168" i="40" s="1"/>
  <c r="B167" i="40"/>
  <c r="I167" i="40" s="1"/>
  <c r="B166" i="40"/>
  <c r="I166" i="40" s="1"/>
  <c r="B164" i="40"/>
  <c r="I164" i="40" s="1"/>
  <c r="B163" i="40"/>
  <c r="I163" i="40" s="1"/>
  <c r="I162" i="40"/>
  <c r="I161" i="40"/>
  <c r="F161" i="40"/>
  <c r="C161" i="40"/>
  <c r="B161" i="40"/>
  <c r="I150" i="40"/>
  <c r="B150" i="40"/>
  <c r="B149" i="40"/>
  <c r="I149" i="40" s="1"/>
  <c r="I148" i="40"/>
  <c r="B148" i="40"/>
  <c r="I147" i="40"/>
  <c r="B147" i="40"/>
  <c r="I144" i="40"/>
  <c r="B144" i="40"/>
  <c r="I143" i="40"/>
  <c r="I142" i="40"/>
  <c r="F142" i="40"/>
  <c r="C142" i="40"/>
  <c r="B142" i="40"/>
  <c r="B130" i="40"/>
  <c r="I128" i="40"/>
  <c r="F128" i="40"/>
  <c r="C128" i="40"/>
  <c r="B128" i="40"/>
  <c r="I116" i="40"/>
  <c r="B116" i="40"/>
  <c r="B115" i="40"/>
  <c r="I113" i="40"/>
  <c r="F113" i="40"/>
  <c r="C113" i="40"/>
  <c r="B113" i="40"/>
  <c r="B101" i="40"/>
  <c r="I101" i="40" s="1"/>
  <c r="B100" i="40"/>
  <c r="I98" i="40"/>
  <c r="F98" i="40"/>
  <c r="C98" i="40"/>
  <c r="B98" i="40"/>
  <c r="I87" i="40"/>
  <c r="I86" i="40"/>
  <c r="I85" i="40"/>
  <c r="I84" i="40"/>
  <c r="I83" i="40"/>
  <c r="I82" i="40"/>
  <c r="I81" i="40"/>
  <c r="F80" i="40"/>
  <c r="C80" i="40"/>
  <c r="B80" i="40"/>
  <c r="I80" i="40" s="1"/>
  <c r="B69" i="40"/>
  <c r="I69" i="40" s="1"/>
  <c r="F68" i="40"/>
  <c r="C68" i="40"/>
  <c r="B68" i="40"/>
  <c r="I68" i="40" s="1"/>
  <c r="B56" i="40"/>
  <c r="I56" i="40" s="1"/>
  <c r="I55" i="40"/>
  <c r="I54" i="40"/>
  <c r="F54" i="40"/>
  <c r="C54" i="40"/>
  <c r="B54" i="40"/>
  <c r="I42" i="40"/>
  <c r="B42" i="40"/>
  <c r="B41" i="40"/>
  <c r="I41" i="40" s="1"/>
  <c r="I40" i="40"/>
  <c r="F39" i="40"/>
  <c r="C39" i="40"/>
  <c r="B39" i="40"/>
  <c r="I39" i="40" s="1"/>
  <c r="I28" i="40"/>
  <c r="I27" i="40"/>
  <c r="I26" i="40"/>
  <c r="I25" i="40"/>
  <c r="F25" i="40"/>
  <c r="C25" i="40"/>
  <c r="B25" i="40"/>
  <c r="I14" i="40"/>
  <c r="I13" i="40"/>
  <c r="I12" i="40"/>
  <c r="F12" i="40"/>
  <c r="C12" i="40"/>
  <c r="B12" i="40"/>
  <c r="P7" i="40"/>
  <c r="B43" i="40" s="1"/>
  <c r="I43" i="40" s="1"/>
  <c r="I45" i="39"/>
  <c r="F44" i="39"/>
  <c r="C44" i="39"/>
  <c r="B44" i="39"/>
  <c r="I44" i="39" s="1"/>
  <c r="I33" i="39"/>
  <c r="F32" i="39"/>
  <c r="C32" i="39"/>
  <c r="B32" i="39"/>
  <c r="I32" i="39" s="1"/>
  <c r="B20" i="39"/>
  <c r="I20" i="39" s="1"/>
  <c r="B19" i="39"/>
  <c r="I19" i="39" s="1"/>
  <c r="I18" i="39"/>
  <c r="I17" i="39"/>
  <c r="B16" i="39"/>
  <c r="I16" i="39" s="1"/>
  <c r="I15" i="39"/>
  <c r="B14" i="39"/>
  <c r="B13" i="39"/>
  <c r="I13" i="39" s="1"/>
  <c r="F12" i="39"/>
  <c r="C12" i="39"/>
  <c r="B12" i="39"/>
  <c r="I12" i="39" s="1"/>
  <c r="Q7" i="39"/>
  <c r="B21" i="39" s="1"/>
  <c r="I21" i="39" s="1"/>
  <c r="Q6" i="39"/>
  <c r="Q5" i="39"/>
  <c r="B57" i="40" l="1"/>
  <c r="I57" i="40" s="1"/>
  <c r="B165" i="40"/>
  <c r="I165" i="40" s="1"/>
  <c r="B183" i="40"/>
  <c r="I183" i="40" s="1"/>
  <c r="B102" i="40"/>
  <c r="I102" i="40" s="1"/>
  <c r="B117" i="40"/>
  <c r="I117" i="40" s="1"/>
  <c r="B145" i="40"/>
  <c r="I145" i="40" s="1"/>
  <c r="B184" i="40"/>
  <c r="I184" i="40" s="1"/>
  <c r="B131" i="40"/>
  <c r="I131" i="40" s="1"/>
  <c r="B146" i="40"/>
  <c r="I146" i="40" s="1"/>
  <c r="I18" i="30" l="1"/>
  <c r="N247" i="38"/>
  <c r="M247" i="38"/>
  <c r="L247" i="38"/>
  <c r="K247" i="38"/>
  <c r="J247" i="38"/>
  <c r="I247" i="38"/>
  <c r="G247" i="38"/>
  <c r="F247" i="38"/>
  <c r="E247" i="38"/>
  <c r="D247" i="38"/>
  <c r="B247" i="38"/>
  <c r="N246" i="38"/>
  <c r="M246" i="38"/>
  <c r="L246" i="38"/>
  <c r="K246" i="38"/>
  <c r="J246" i="38"/>
  <c r="I246" i="38"/>
  <c r="G246" i="38"/>
  <c r="E246" i="38"/>
  <c r="D246" i="38"/>
  <c r="B246" i="38"/>
  <c r="N245" i="38"/>
  <c r="M245" i="38"/>
  <c r="L245" i="38"/>
  <c r="K245" i="38"/>
  <c r="J245" i="38"/>
  <c r="I245" i="38"/>
  <c r="G245" i="38"/>
  <c r="E245" i="38"/>
  <c r="D245" i="38"/>
  <c r="B245" i="38"/>
  <c r="N244" i="38"/>
  <c r="M244" i="38"/>
  <c r="L244" i="38"/>
  <c r="K244" i="38"/>
  <c r="J244" i="38"/>
  <c r="I244" i="38"/>
  <c r="G244" i="38"/>
  <c r="E244" i="38"/>
  <c r="D244" i="38"/>
  <c r="B244" i="38"/>
  <c r="A244" i="38"/>
  <c r="N243" i="38"/>
  <c r="M243" i="38"/>
  <c r="L243" i="38"/>
  <c r="K243" i="38"/>
  <c r="J243" i="38"/>
  <c r="I243" i="38"/>
  <c r="G243" i="38"/>
  <c r="E243" i="38"/>
  <c r="D243" i="38"/>
  <c r="B243" i="38"/>
  <c r="A242" i="38"/>
  <c r="A224" i="38"/>
  <c r="A247" i="38" s="1"/>
  <c r="A213" i="38"/>
  <c r="A212" i="38"/>
  <c r="A211" i="38"/>
  <c r="A210" i="38"/>
  <c r="A209" i="38"/>
  <c r="A208" i="38"/>
  <c r="A243" i="38" s="1"/>
  <c r="A197" i="38"/>
  <c r="A196" i="38"/>
  <c r="A195" i="38"/>
  <c r="A194" i="38"/>
  <c r="A183" i="38"/>
  <c r="A182" i="38"/>
  <c r="A181" i="38"/>
  <c r="A180" i="38"/>
  <c r="A179" i="38"/>
  <c r="A245" i="38" s="1"/>
  <c r="A160" i="38"/>
  <c r="A159" i="38"/>
  <c r="A246" i="38" s="1"/>
  <c r="B148" i="38"/>
  <c r="U147" i="38"/>
  <c r="B147" i="38" s="1"/>
  <c r="S147" i="38"/>
  <c r="U146" i="38"/>
  <c r="B146" i="38" s="1"/>
  <c r="S146" i="38"/>
  <c r="A145" i="38"/>
  <c r="B133" i="38"/>
  <c r="B134" i="38" s="1"/>
  <c r="A131" i="38"/>
  <c r="B119" i="38"/>
  <c r="B118" i="38"/>
  <c r="A116" i="38"/>
  <c r="B104" i="38"/>
  <c r="B105" i="38" s="1"/>
  <c r="A101" i="38"/>
  <c r="B89" i="38"/>
  <c r="B88" i="38" s="1"/>
  <c r="A86" i="38"/>
  <c r="B75" i="38"/>
  <c r="B74" i="38"/>
  <c r="A71" i="38"/>
  <c r="B60" i="38"/>
  <c r="B59" i="38"/>
  <c r="J59" i="38" s="1"/>
  <c r="U58" i="38"/>
  <c r="S58" i="38"/>
  <c r="B58" i="38"/>
  <c r="U57" i="38"/>
  <c r="S57" i="38"/>
  <c r="B57" i="38"/>
  <c r="A56" i="38"/>
  <c r="B45" i="38"/>
  <c r="B44" i="38"/>
  <c r="A42" i="38"/>
  <c r="B30" i="38"/>
  <c r="B29" i="38" s="1"/>
  <c r="A27" i="38"/>
  <c r="B16" i="38"/>
  <c r="B15" i="38"/>
  <c r="A12" i="38"/>
  <c r="A135" i="37"/>
  <c r="A134" i="37"/>
  <c r="A133" i="37"/>
  <c r="A132" i="37"/>
  <c r="A131" i="37"/>
  <c r="A130" i="37"/>
  <c r="A129" i="37"/>
  <c r="A128" i="37"/>
  <c r="A127" i="37"/>
  <c r="A126" i="37"/>
  <c r="A125" i="37"/>
  <c r="A13" i="36" s="1"/>
  <c r="B114" i="37"/>
  <c r="A113" i="37"/>
  <c r="B102" i="37"/>
  <c r="B101" i="37"/>
  <c r="A99" i="37"/>
  <c r="B88" i="37"/>
  <c r="A85" i="37"/>
  <c r="B74" i="37"/>
  <c r="A71" i="37"/>
  <c r="B60" i="37"/>
  <c r="A57" i="37"/>
  <c r="B46" i="37"/>
  <c r="A42" i="37"/>
  <c r="B31" i="37"/>
  <c r="B30" i="37"/>
  <c r="B29" i="37"/>
  <c r="A27" i="37"/>
  <c r="B16" i="37"/>
  <c r="J15" i="37"/>
  <c r="B15" i="37"/>
  <c r="U14" i="37"/>
  <c r="B14" i="37" s="1"/>
  <c r="S14" i="37"/>
  <c r="U13" i="37"/>
  <c r="B13" i="37" s="1"/>
  <c r="S13" i="37"/>
  <c r="A12" i="37"/>
  <c r="N14" i="36"/>
  <c r="M14" i="36"/>
  <c r="L14" i="36"/>
  <c r="K14" i="36"/>
  <c r="J14" i="36"/>
  <c r="I14" i="36"/>
  <c r="G14" i="36"/>
  <c r="F14" i="36"/>
  <c r="E14" i="36"/>
  <c r="D14" i="36"/>
  <c r="B14" i="36"/>
  <c r="A14" i="36"/>
  <c r="N13" i="36"/>
  <c r="M13" i="36"/>
  <c r="L13" i="36"/>
  <c r="K13" i="36"/>
  <c r="J13" i="36"/>
  <c r="I13" i="36"/>
  <c r="G13" i="36"/>
  <c r="F13" i="36"/>
  <c r="E13" i="36"/>
  <c r="D13" i="36"/>
  <c r="B13" i="36"/>
  <c r="A12" i="36"/>
  <c r="N83" i="35" l="1"/>
  <c r="B83" i="35" s="1"/>
  <c r="I83" i="35" s="1"/>
  <c r="N82" i="35"/>
  <c r="B82" i="35" s="1"/>
  <c r="I82" i="35" s="1"/>
  <c r="N81" i="35"/>
  <c r="N80" i="35"/>
  <c r="N79" i="35"/>
  <c r="N78" i="35"/>
  <c r="B78" i="35" s="1"/>
  <c r="I78" i="35" s="1"/>
  <c r="B81" i="35"/>
  <c r="I81" i="35" s="1"/>
  <c r="B80" i="35"/>
  <c r="I80" i="35" s="1"/>
  <c r="B79" i="35"/>
  <c r="I79" i="35" s="1"/>
  <c r="I77" i="35"/>
  <c r="B76" i="35"/>
  <c r="B75" i="35"/>
  <c r="N59" i="35"/>
  <c r="N60" i="35"/>
  <c r="N61" i="35"/>
  <c r="N62" i="35"/>
  <c r="N63" i="35"/>
  <c r="B63" i="35" s="1"/>
  <c r="I63" i="35" s="1"/>
  <c r="N58" i="35"/>
  <c r="B58" i="35" s="1"/>
  <c r="I58" i="35" s="1"/>
  <c r="B59" i="35"/>
  <c r="I59" i="35" s="1"/>
  <c r="B60" i="35"/>
  <c r="I60" i="35" s="1"/>
  <c r="B62" i="35"/>
  <c r="I62" i="35" s="1"/>
  <c r="B61" i="35"/>
  <c r="I61" i="35" s="1"/>
  <c r="I57" i="35"/>
  <c r="B56" i="35"/>
  <c r="B55" i="35"/>
  <c r="N43" i="35"/>
  <c r="N42" i="35"/>
  <c r="B42" i="35" s="1"/>
  <c r="I42" i="35" s="1"/>
  <c r="N41" i="35"/>
  <c r="N40" i="35"/>
  <c r="B40" i="35" s="1"/>
  <c r="I40" i="35" s="1"/>
  <c r="N39" i="35"/>
  <c r="B39" i="35" s="1"/>
  <c r="I39" i="35" s="1"/>
  <c r="N38" i="35"/>
  <c r="B38" i="35" s="1"/>
  <c r="I38" i="35" s="1"/>
  <c r="N19" i="35"/>
  <c r="B19" i="35" s="1"/>
  <c r="I19" i="35" s="1"/>
  <c r="N20" i="35"/>
  <c r="B20" i="35" s="1"/>
  <c r="I20" i="35" s="1"/>
  <c r="N21" i="35"/>
  <c r="N22" i="35"/>
  <c r="N23" i="35"/>
  <c r="N18" i="35"/>
  <c r="B18" i="35" s="1"/>
  <c r="I18" i="35" s="1"/>
  <c r="B41" i="35"/>
  <c r="I41" i="35" s="1"/>
  <c r="B37" i="35"/>
  <c r="I37" i="35" s="1"/>
  <c r="B43" i="35"/>
  <c r="I43" i="35" s="1"/>
  <c r="B36" i="35"/>
  <c r="B35" i="35"/>
  <c r="B22" i="35"/>
  <c r="I22" i="35" s="1"/>
  <c r="B23" i="35"/>
  <c r="I23" i="35" s="1"/>
  <c r="B21" i="35"/>
  <c r="I21" i="35" s="1"/>
  <c r="B16" i="35"/>
  <c r="B15" i="35"/>
  <c r="I17"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<sst xmlns="http://schemas.openxmlformats.org/spreadsheetml/2006/main" count="10454" uniqueCount="595">
  <si>
    <t>cutoff</t>
  </si>
  <si>
    <t>Database</t>
  </si>
  <si>
    <t>GENESIS_2040_conventional_PkBudg500</t>
  </si>
  <si>
    <t>format</t>
  </si>
  <si>
    <t>Excel spreadsheet</t>
  </si>
  <si>
    <t>Activity</t>
  </si>
  <si>
    <t>aircraft usage, design mission, conventional</t>
  </si>
  <si>
    <t>categories</t>
  </si>
  <si>
    <t>Use</t>
  </si>
  <si>
    <t>code</t>
  </si>
  <si>
    <t>0808F060E0F94D1BB0380DFA4A9065F5</t>
  </si>
  <si>
    <t>comment</t>
  </si>
  <si>
    <t>Table B1 of GENESIS_LCI_powerplant_medium-term_conventional_v01.xlsx.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</si>
  <si>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</si>
  <si>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</si>
  <si>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</si>
  <si>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</si>
  <si>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</si>
  <si>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</si>
  <si>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</si>
  <si>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</si>
  <si>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</si>
  <si>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</si>
  <si>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</si>
  <si>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</si>
  <si>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</si>
  <si>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</si>
  <si>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</si>
  <si>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</si>
  <si>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</si>
  <si>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</si>
  <si>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</si>
  <si>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</si>
  <si>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</si>
  <si>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</si>
  <si>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</si>
  <si>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</si>
  <si>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</si>
  <si>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ecoinvent_remind_SSP2-PkBudg500_2040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</si>
  <si>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</si>
  <si>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</si>
  <si>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</si>
  <si>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</si>
  <si>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</si>
  <si>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</si>
  <si>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</si>
  <si>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</si>
  <si>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</si>
  <si>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</si>
  <si>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</si>
  <si>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</si>
  <si>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</si>
  <si>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GENESIS_LCI_powerplant_medium-term_conventional_v01.xlsx. 1 unit corresponds to 1 flight over 378.057 km (design mission) with 50 passengers</t>
  </si>
  <si>
    <t>aircraft usage, design mission, conventional, SAF</t>
  </si>
  <si>
    <t>E60BCC7BBBB44E729CCC8156F32F7793</t>
  </si>
  <si>
    <t>Table B1 of GENESIS_LCI_powerplant_medium-term_conventional_v01.xlsx. 1 unit corresponds to 1 flight over 1118.88 km (design mission) with 50 passengers using SAF</t>
  </si>
  <si>
    <t>SAF production, medium-term, proxy</t>
  </si>
  <si>
    <t>GLO</t>
  </si>
  <si>
    <t>aircraft usage, typical mission, conventional, SAF</t>
  </si>
  <si>
    <t>70E4280FBBC24DC09EB5512226D396F6</t>
  </si>
  <si>
    <t>Table B1 of GENESIS_LCI_powerplant_medium-term_conventional_v01.xlsx. 1 unit corresponds to 1 flight over 378.057 km (typical mission) with 50 passengers using SAF</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</si>
  <si>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</si>
  <si>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</si>
  <si>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</si>
  <si>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</si>
  <si>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</si>
  <si>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</si>
  <si>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</si>
  <si>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</si>
  <si>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</si>
  <si>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</si>
  <si>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</si>
  <si>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</si>
  <si>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</si>
  <si>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</si>
  <si>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</si>
  <si>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</si>
  <si>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</si>
  <si>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kilowatt hour</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</si>
  <si>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</si>
  <si>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</si>
  <si>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</si>
  <si>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</si>
  <si>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</si>
  <si>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</si>
  <si>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</si>
  <si>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</si>
  <si>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</si>
  <si>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</si>
  <si>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</si>
  <si>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</si>
  <si>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</si>
  <si>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</si>
  <si>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</si>
  <si>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</si>
  <si>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</si>
  <si>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</si>
  <si>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</si>
  <si>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</si>
  <si>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</si>
  <si>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</si>
  <si>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</si>
  <si>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</si>
  <si>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</si>
  <si>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</si>
  <si>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</si>
  <si>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</si>
  <si>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</si>
  <si>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</si>
  <si>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</si>
  <si>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</si>
  <si>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</si>
  <si>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</si>
  <si>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</si>
  <si>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</si>
  <si>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</si>
  <si>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</si>
  <si>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</si>
  <si>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</si>
  <si>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</si>
  <si>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</si>
  <si>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</si>
  <si>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</si>
  <si>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</si>
  <si>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</si>
  <si>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</si>
  <si>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</si>
  <si>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</si>
  <si>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</si>
  <si>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</si>
  <si>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</si>
  <si>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</si>
  <si>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</si>
  <si>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</si>
  <si>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</si>
  <si>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</si>
  <si>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</si>
  <si>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</si>
  <si>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</si>
  <si>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</si>
  <si>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</si>
  <si>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</si>
  <si>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</si>
  <si>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</si>
  <si>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</si>
  <si>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</si>
  <si>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</si>
  <si>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</si>
  <si>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</si>
  <si>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</si>
  <si>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</si>
  <si>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</si>
  <si>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</si>
  <si>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</si>
  <si>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</si>
  <si>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</si>
  <si>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</si>
  <si>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</si>
  <si>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</si>
  <si>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</si>
  <si>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</si>
  <si>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</si>
  <si>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</si>
  <si>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</si>
  <si>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</si>
  <si>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</si>
  <si>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</si>
  <si>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</si>
  <si>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</si>
  <si>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</si>
  <si>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</si>
  <si>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</si>
  <si>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</si>
  <si>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</si>
  <si>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</si>
  <si>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</si>
  <si>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</si>
  <si>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</si>
  <si>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</si>
  <si>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</si>
  <si>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</si>
  <si>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</si>
  <si>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</si>
  <si>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</si>
  <si>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</si>
  <si>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</si>
  <si>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</si>
  <si>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</si>
  <si>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</si>
  <si>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</si>
  <si>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</si>
  <si>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</si>
  <si>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</si>
  <si>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</si>
  <si>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</si>
  <si>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</si>
  <si>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Airframe</t>
  </si>
  <si>
    <t>26D3375E940E4AA3A0DF9D684D8DE565</t>
  </si>
  <si>
    <t>Table 00 of GENESIS_LCI_airframe_medium-term_conventional_v01.xlsx. 1 unit corresponds to 10937.6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</si>
  <si>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</si>
  <si>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</si>
  <si>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</si>
  <si>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</si>
  <si>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</si>
  <si>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Medium-Term</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</si>
  <si>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</si>
  <si>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</si>
  <si>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</si>
  <si>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</si>
  <si>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reference product</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</si>
  <si>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</si>
  <si>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</si>
  <si>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</si>
  <si>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</si>
  <si>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</si>
  <si>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</si>
  <si>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</si>
  <si>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</si>
  <si>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</si>
  <si>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</si>
  <si>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</si>
  <si>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</si>
  <si>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t>
  </si>
  <si>
    <t>powerplant</t>
  </si>
  <si>
    <t>974BB07DF6ED4E49B79076B9CC74C462</t>
  </si>
  <si>
    <t>Table 00 (lifetime: 20 years) of GENESIS_LCI_powerplant_short-term_conventional_v01_DTU</t>
  </si>
  <si>
    <t>full names</t>
  </si>
  <si>
    <t>additional comment/assumptions</t>
  </si>
  <si>
    <t>Production of Engine, Conventional</t>
  </si>
  <si>
    <t>Unspecified "Further technological correlation"</t>
  </si>
  <si>
    <t>Production of Gearbox, Conventional</t>
  </si>
  <si>
    <t>Production of Propellers, Conventional</t>
  </si>
  <si>
    <t>Production of Fuel System, Conventional</t>
  </si>
  <si>
    <t xml:space="preserve">conversions: </t>
  </si>
  <si>
    <t>market group for electricity, high voltage</t>
  </si>
  <si>
    <t>World</t>
  </si>
  <si>
    <t>kWh</t>
  </si>
  <si>
    <t>MJ</t>
  </si>
  <si>
    <t>m3</t>
  </si>
  <si>
    <t>market group for heat, district or industrial, natural gas</t>
  </si>
  <si>
    <t>kg</t>
  </si>
  <si>
    <t>Assumed water density of 997.42788 kg/m3</t>
  </si>
  <si>
    <t>market for wastewater, average</t>
  </si>
  <si>
    <t>treatment of waste plastic, industrial electronics, municipal incineration</t>
  </si>
  <si>
    <t/>
  </si>
  <si>
    <t>VOC, volatile organic compounds, unspecified origin</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</si>
  <si>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</si>
  <si>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</si>
  <si>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</si>
  <si>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</si>
  <si>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</si>
  <si>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</si>
  <si>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market for aluminium alloy, AlMg3</t>
  </si>
  <si>
    <t>input= input mass*ratio</t>
  </si>
  <si>
    <t>assumed proxy for Aluminium alloy (Al5052)</t>
  </si>
  <si>
    <t>market for titanium</t>
  </si>
  <si>
    <t>assumed proxy for titanium aluminide</t>
  </si>
  <si>
    <t>market for magnesium-alloy, AZ91</t>
  </si>
  <si>
    <t>market for iron-nickel-chromium alloy</t>
  </si>
  <si>
    <t>assumed proxy for Nickel Alloy</t>
  </si>
  <si>
    <t>market for aluminium alloy, metal matrix composite</t>
  </si>
  <si>
    <t>assumed proxy for Metal Matrix Composite</t>
  </si>
  <si>
    <t>assumed proxy for Ceramic Matrix Composite</t>
  </si>
  <si>
    <t>treatment of aluminium scrap, post-consumer, by collecting, sorting, cleaning, pressing</t>
  </si>
  <si>
    <t>waste amounts= input mass*ratio - input mass</t>
  </si>
  <si>
    <t>assumed proxy for treatment of Aluminium alloy (Al5052)</t>
  </si>
  <si>
    <t>treatment of aluminium scrap, post-consumer, prepared for recycling, at refiner</t>
  </si>
  <si>
    <t>aluminium, cast alloy</t>
  </si>
  <si>
    <t>2</t>
  </si>
  <si>
    <t>substitution</t>
  </si>
  <si>
    <t>assumed proxy for substituted scraps of Aluminium alloy (Al5052)</t>
  </si>
  <si>
    <t xml:space="preserve">assumed proxy for treatment of titanium 114MJ/kg, Rupcic et al. https://doi.org/10.1016/j.cirp.2022.04.047 </t>
  </si>
  <si>
    <t>60% el</t>
  </si>
  <si>
    <t>assumed proxy for treatment of titanium 114MJ/kg from Rupcic et al. https://doi.org/10.1016/j.cirp.2022.04.047</t>
  </si>
  <si>
    <t>40% natural gas</t>
  </si>
  <si>
    <t>assumed proxy for substituted scraps of titanium</t>
  </si>
  <si>
    <t>assumed proxy for treatment of magnesium-alu alloy</t>
  </si>
  <si>
    <t>assumed proxy for substituted scraps of magnesium-alu alloy</t>
  </si>
  <si>
    <t>treatment of electronics scrap, metals recovery in copper smelter</t>
  </si>
  <si>
    <t>metal part of electronics scrap, in copper, anode</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</si>
  <si>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</si>
  <si>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</si>
  <si>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</si>
  <si>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</si>
  <si>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</si>
  <si>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</si>
  <si>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</si>
  <si>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</si>
  <si>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carbon fibre reinforced plastic, injection moulded</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</si>
  <si>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</si>
  <si>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</si>
  <si>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</si>
  <si>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</si>
  <si>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</si>
  <si>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</si>
  <si>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</si>
  <si>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</si>
  <si>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</si>
  <si>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</si>
  <si>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market for steel, low-alloyed</t>
  </si>
  <si>
    <t>assumed proxy for steel alloy</t>
  </si>
  <si>
    <t>assumed proxy for Aluminium alloy (ADC-12)</t>
  </si>
  <si>
    <t>treatment of waste reinforcement steel, recycling</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</si>
  <si>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</si>
  <si>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</si>
  <si>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</si>
  <si>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</si>
  <si>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</si>
  <si>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</si>
  <si>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</si>
  <si>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</si>
  <si>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</si>
  <si>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</si>
  <si>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</si>
  <si>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</si>
  <si>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</si>
  <si>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</si>
  <si>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</si>
  <si>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</si>
  <si>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</si>
  <si>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</si>
  <si>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</si>
  <si>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</si>
  <si>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</si>
  <si>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</si>
  <si>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</si>
  <si>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</si>
  <si>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</si>
  <si>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</si>
  <si>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assumed proxy for coated steel 68,82 kg converted to square metres based on density of 7300</t>
  </si>
  <si>
    <t>m2 (with thickness of 2mm)</t>
  </si>
  <si>
    <t>market for cellulose fibre</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</si>
  <si>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</si>
  <si>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</si>
  <si>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</si>
  <si>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</si>
  <si>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</si>
  <si>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</si>
  <si>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</si>
  <si>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</si>
  <si>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</si>
  <si>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</si>
  <si>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</si>
  <si>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</si>
  <si>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</si>
  <si>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</si>
  <si>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</si>
  <si>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</si>
  <si>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</si>
  <si>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</si>
  <si>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</si>
  <si>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</si>
  <si>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market for synthetic rubber</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</si>
  <si>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</si>
  <si>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</si>
  <si>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</si>
  <si>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</si>
  <si>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</si>
  <si>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</si>
  <si>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market for aluminium, cast alloy</t>
  </si>
  <si>
    <t xml:space="preserve">assumed proxy for aluminium </t>
  </si>
  <si>
    <t xml:space="preserve">assumed proxy for carbon steel </t>
  </si>
  <si>
    <t>market for copper-rich materials</t>
  </si>
  <si>
    <t xml:space="preserve">assumed proxy for copper </t>
  </si>
  <si>
    <t>assumed proxy for cupronickel (70%) along with market for nickel, class 1 (30%)</t>
  </si>
  <si>
    <t>market for nickel, class 1</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</si>
  <si>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</si>
  <si>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</si>
  <si>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</si>
  <si>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</si>
  <si>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</si>
  <si>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</si>
  <si>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</si>
  <si>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</si>
  <si>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</si>
  <si>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</si>
  <si>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</si>
  <si>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</si>
  <si>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</si>
  <si>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</si>
  <si>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</si>
  <si>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</si>
  <si>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</si>
  <si>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</si>
  <si>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</si>
  <si>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</si>
  <si>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</si>
  <si>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</si>
  <si>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</si>
  <si>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treatment of waste rubber, unspecified, municipal incineration</t>
  </si>
  <si>
    <t>Aircraft</t>
  </si>
  <si>
    <t>866C8316FF114F9987EC0DEA4817F114</t>
  </si>
  <si>
    <t>Table 0 of GENESIS_LCI_airframe_medium-term_conventional_v01.xlsx. 1 unit corresponds to 5444.1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</si>
  <si>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</si>
  <si>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</si>
  <si>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</si>
  <si>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</si>
  <si>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</si>
  <si>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</si>
  <si>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</si>
  <si>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market for diesel</t>
  </si>
  <si>
    <t>8C7E2D4A1D994218BDF436661E3C914A</t>
  </si>
  <si>
    <t>Table 1 of GENESIS_LCI_airframe_medium-term_conventional_v01.xlsx. 1 unit corresponds to 1814 kg of airframe structure</t>
  </si>
  <si>
    <t>B7B89EF16E6F49B2B915051FE595481E</t>
  </si>
  <si>
    <t>Table 2 of GENESIS_LCI_airframe_medium-term_conventional_v01.xlsx. 1 unit corresponds to 201 kg of the horizontal tail</t>
  </si>
  <si>
    <t>market for glass fibre reinforced plastic, polyamide, injection moulded</t>
  </si>
  <si>
    <t>7075311181464349930562CF352A2395</t>
  </si>
  <si>
    <t>Table 3 of GENESIS_LCI_airframe_medium-term_conventional_v01.xlsx. 1 unit corresponds to 257.4 kg of the vertical tail</t>
  </si>
  <si>
    <t>AC4588891BD64434B1E4C5298240C664</t>
  </si>
  <si>
    <t>Table 4 of GENESIS_LCI_airframe_medium-term_conventional_v01.xlsx. 1 unit corresponds to 2374.3 kg of the fuselage. Amount of misc material distributed evenly on the remaining materials</t>
  </si>
  <si>
    <t>C47E82889A394C4B94774DC085988AF0</t>
  </si>
  <si>
    <t>Table 5 of GENESIS_LCI_airframe_medium-term_conventional_v01.xlsx. 1 unit corresponds to 645.9 kg of the main undercarriage.</t>
  </si>
  <si>
    <t>8B54AD66CA0D4F1CA284D579E5C59F02</t>
  </si>
  <si>
    <t>Table 5 of GENESIS_LCI_airframe_medium-term_conventional_v01.xlsx. 1 unit corresponds to 151.3 kg of the nose undercarriage.</t>
  </si>
  <si>
    <t>BF18CFA1312848E58146221A89377C43</t>
  </si>
  <si>
    <t>Table 7 of GENESIS_LCI_airframe_medium-term_conventional_v01.xlsx. 1 unit corresponds to 2248.7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</si>
  <si>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</si>
  <si>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</si>
  <si>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</si>
  <si>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</si>
  <si>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</si>
  <si>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</si>
  <si>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</si>
  <si>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GENESIS_LCI_airframe_medium-term_conventional_v01.xlsx. 1 unit corresponds to 591.4 kg of the AC system.</t>
  </si>
  <si>
    <t>market for copper, cathode</t>
  </si>
  <si>
    <t>market for polypropylene, granulate</t>
  </si>
  <si>
    <t>813991AEA6A247DDACB78CAC8E547569</t>
  </si>
  <si>
    <t>Table 7 of GENESIS_LCI_airframe_medium-term_conventional_v01.xlsx. 1 unit corresponds to 741.6 kg of the electrical systems.</t>
  </si>
  <si>
    <t>market for electronics, for control units</t>
  </si>
  <si>
    <t>079223B7950040C39F8AD4ED30BA9B32</t>
  </si>
  <si>
    <t>Table 11 of GENESIS_LCI_airframe_medium-term_conventional_v01.xlsx. 1 unit corresponds to 412.2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</si>
  <si>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</si>
  <si>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</si>
  <si>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</si>
  <si>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</si>
  <si>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</si>
  <si>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</si>
  <si>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GENESIS_LCI_airframe_medium-term_conventional_v01.xlsx. 1 unit corresponds to 140.458 kg of the valves.</t>
  </si>
  <si>
    <t>9D134265CF7E44A2959739DBC2EB1D6E</t>
  </si>
  <si>
    <t>Table 11 of GENESIS_LCI_airframe_medium-term_conventional_v01.xlsx. 1 unit corresponds to 36.068 kg of the filters.</t>
  </si>
  <si>
    <t>B3BCA3A1A8CF4AFC9453A3E716E41333</t>
  </si>
  <si>
    <t>Table 11 of GENESIS_LCI_airframe_medium-term_conventional_v01.xlsx. 1 unit corresponds to 97.898 kg of the pumps.</t>
  </si>
  <si>
    <t>treatment of aluminium scrap, post-consumer, prepared for recycling, at remelter</t>
  </si>
  <si>
    <t>7D66CED5A1DE431FB1B7CC137E878F78</t>
  </si>
  <si>
    <t>Table 11 of GENESIS_LCI_airframe_medium-term_conventional_v01.xlsx. 1 unit corresponds to 180.338 kg of the lines/pipes.</t>
  </si>
  <si>
    <t>E3B2D1306BCB492290253CCC7115C36E</t>
  </si>
  <si>
    <t>Table 7 of GENESIS_LCI_airframe_medium-term_conventional_v01.xlsx. 1 unit corresponds to 321.9 kg of the instruments.</t>
  </si>
  <si>
    <t>01C076B2C55841369149E7BC8A87212B</t>
  </si>
  <si>
    <t>Table 12 of GENESIS_LCI_airframe_medium-term_conventional_v01.xlsx. 1 unit corresponds to 181.6 kg of the APU.</t>
  </si>
  <si>
    <t>63A2F271D96742C49C5E0667AED70D92</t>
  </si>
  <si>
    <t>Table 8 of GENESIS_LCI_airframe_medium-term_conventional_v01.xlsx. 1 unit corresponds to 1158.8 kg of furnishing</t>
  </si>
  <si>
    <t>market for nylon 6</t>
  </si>
  <si>
    <t>market for fibre, viscose</t>
  </si>
  <si>
    <t>market for polyurethane, flexible foam, flame retardant</t>
  </si>
  <si>
    <t>D0B1C6825EF140E7917496E3BE8AD9FD</t>
  </si>
  <si>
    <t>Table 9 of GENESIS_LCI_airframe_medium-term_conventional_v01.xlsx.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</si>
  <si>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</si>
  <si>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</si>
  <si>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</si>
  <si>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</si>
  <si>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</si>
  <si>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</si>
  <si>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</si>
  <si>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</si>
  <si>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</si>
  <si>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</si>
  <si>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</si>
  <si>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</si>
  <si>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</si>
  <si>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</si>
  <si>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</si>
  <si>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</si>
  <si>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</si>
  <si>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</si>
  <si>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</si>
  <si>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</si>
  <si>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</si>
  <si>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</si>
  <si>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</si>
  <si>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</si>
  <si>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EoL, conventional, Medium-Term</t>
  </si>
  <si>
    <t>DD858848615E408D900D5088DEC25E04</t>
  </si>
  <si>
    <t>decomissioning master process for aiframe, powerplant and power electronics and drives</t>
  </si>
  <si>
    <t>comment 2</t>
  </si>
  <si>
    <t>treatment of titanium,powerplant, conventional, Medium-Term</t>
  </si>
  <si>
    <t>powerplant EoL, conventional, Medium-Term</t>
  </si>
  <si>
    <t>DF0A5D7509074B4F84CF4F285AFBFF39</t>
  </si>
  <si>
    <t>from pamela: 50% recycled and 50% landfilled</t>
  </si>
  <si>
    <t>assumed proxy LHV: 114MJ/kg, Rupcic et al. https://doi.org/10.1016/j.cirp.2022.04.047 , 50% goes to be melted and recycled</t>
  </si>
  <si>
    <t>treatment of basic oxygen furnace secondary metallurgy slag, residual material landfill</t>
  </si>
  <si>
    <t>remaining 50% slag to landfill</t>
  </si>
  <si>
    <t>treatment of CFRP,powerplant, conventional, Medium-Term</t>
  </si>
  <si>
    <t>4CBCED4CF7B44CDE85E5DCE2DCFB5FB1</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</si>
  <si>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</si>
  <si>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</si>
  <si>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</si>
  <si>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</si>
  <si>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</si>
  <si>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</si>
  <si>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</si>
  <si>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</si>
  <si>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Medium-Term</t>
  </si>
  <si>
    <t>E26FE8C725E54963A766D997F42C3278</t>
  </si>
  <si>
    <t>from pamela: (using aluminium in "all materials") 85% recycled and 15% landfilled</t>
  </si>
  <si>
    <t>assuming same EoL percentages as specified for engine for steel in pamela project</t>
  </si>
  <si>
    <t>includes remelting</t>
  </si>
  <si>
    <t>treatment of iron-nickel chromium alloy,powerplant, conventional, Medium-Term</t>
  </si>
  <si>
    <t>53522BD1427744A5810C83FD0D08E8FD</t>
  </si>
  <si>
    <t>treatment of nickel,powerplant, conventional, Medium-Term</t>
  </si>
  <si>
    <t>190DE19B0CEF41D38DC55CD9D435038A</t>
  </si>
  <si>
    <t>treatment of copper,powerplant, conventional, Medium-Term</t>
  </si>
  <si>
    <t>B8801F5D8F514A8684BD7A9731D826A8</t>
  </si>
  <si>
    <t>treatment of magnesium alloy powerplant, conventional, Medium-Term</t>
  </si>
  <si>
    <t>D457536CD79948AFA5D52BC4FD514078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</si>
  <si>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</si>
  <si>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</si>
  <si>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</si>
  <si>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</si>
  <si>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Medium-Term</t>
  </si>
  <si>
    <t>691E5342E7C245AA97F7DC9FAC8BB06C</t>
  </si>
  <si>
    <t>no el or heat recovery</t>
  </si>
  <si>
    <t>market for hazardous waste, for incineration</t>
  </si>
  <si>
    <t>treatment of powerplant, conventional, Medium-Term</t>
  </si>
  <si>
    <t>457B6D951627445AAABC40678FCBAF08</t>
  </si>
  <si>
    <t>treatment of aluminium, wing, airframe, conventional, Medium-Term</t>
  </si>
  <si>
    <t>C2BBAA5C2E784F4BA082BE975DF1642B</t>
  </si>
  <si>
    <t>airframe EoL, same for all configs</t>
  </si>
  <si>
    <t>airframe EoL, conventional, Medium-Term</t>
  </si>
  <si>
    <t>assuming % for wing aluminium -project Pamela</t>
  </si>
  <si>
    <t>assuming 90% of that is recovered</t>
  </si>
  <si>
    <t>treatment of CFRP, wing, airframe, conventional, Medium-Term</t>
  </si>
  <si>
    <t>73903594AE0B4F038860C419FF70F988</t>
  </si>
  <si>
    <t>assuming % for wing composites -project Pamela</t>
  </si>
  <si>
    <t>heat recovery from plastic , We assume 50% of electricity recovery from incinertion LHV = 34,78 MJ/kg</t>
  </si>
  <si>
    <t>treatment of steel, wing, airframe, conventional, Medium-Term</t>
  </si>
  <si>
    <t>42F0EE305799401BA1549D87482D9EF2</t>
  </si>
  <si>
    <t>assuming % for wing steel -project Pamela</t>
  </si>
  <si>
    <t>market for steel, low-alloyed, hot rolled</t>
  </si>
  <si>
    <t>crediting assuming 90% is recovered</t>
  </si>
  <si>
    <t>rest to slag landfill</t>
  </si>
  <si>
    <t>treatment of titanium, wing, airframe, conventional, Medium-Term</t>
  </si>
  <si>
    <t>960BE3DC90E0436C82AF63C610F58125</t>
  </si>
  <si>
    <t>required el from rupcic et al.</t>
  </si>
  <si>
    <t>required heat from Rupcic et al.</t>
  </si>
  <si>
    <t>treatment of aluminium, tail, airframe, conventional, Medium-Term</t>
  </si>
  <si>
    <t>E9D3E0BCCE0C4FFF8407A1121B91B85E</t>
  </si>
  <si>
    <t>assuming % for tail aluminium -project Pamela</t>
  </si>
  <si>
    <t>treatment of composites, tail, airframe, conventional, Medium-Term</t>
  </si>
  <si>
    <t>512C51357A5745638CF8DD38D91103FB</t>
  </si>
  <si>
    <t>airframe EoL, works for CFRP and GFRP, same for all configs</t>
  </si>
  <si>
    <t>assuming % for stabilising part composites -project Pamela</t>
  </si>
  <si>
    <t>treatment of aluminium, fuselage, airframe, conventional, Medium-Term</t>
  </si>
  <si>
    <t>F241439EFC7F464080DD27044DCA017D</t>
  </si>
  <si>
    <t>assuming % for fuselage aluminium -project Pamela</t>
  </si>
  <si>
    <t>treatment of composites, fuselage, airframe, conventional, Medium-Term</t>
  </si>
  <si>
    <t>63B65FE824D64DE4855DA77A64AA0211</t>
  </si>
  <si>
    <t>assuming % for fuesalage composites -project Pamela</t>
  </si>
  <si>
    <t>treatment of steel, fuselage, airframe, conventional, Medium-Term</t>
  </si>
  <si>
    <t>CD222124106847B19D8E76A555D3073E</t>
  </si>
  <si>
    <t>assuming % for fuselage steel -project Pamela</t>
  </si>
  <si>
    <t>treatment of titanium, fuselage, airframe, conventional, Medium-Term</t>
  </si>
  <si>
    <t>2F940E91C0FD4C3780F35D13CBA81B95</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</si>
  <si>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</si>
  <si>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</si>
  <si>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</si>
  <si>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</si>
  <si>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</si>
  <si>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Medium-Term</t>
  </si>
  <si>
    <t>02F779CBC34C4601A03F464716F22A3B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</si>
  <si>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</si>
  <si>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</si>
  <si>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</si>
  <si>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</si>
  <si>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</si>
  <si>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</si>
  <si>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</si>
  <si>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</si>
  <si>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</si>
  <si>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Medium-Term</t>
  </si>
  <si>
    <t>78C15025550145ED8592777D484E8496</t>
  </si>
  <si>
    <t>airframe EoL, changes for different config</t>
  </si>
  <si>
    <t>treatment tail , airframe, conventional, Medium-Term</t>
  </si>
  <si>
    <t>6532B06BB0DA441CB4D8DCCA97395717</t>
  </si>
  <si>
    <t>CFRP</t>
  </si>
  <si>
    <t>GFRP</t>
  </si>
  <si>
    <t>treatment fuselage , airframe, conventional, Medium-Term</t>
  </si>
  <si>
    <t>D2B22D5E28754E4CBBE1AC9E1C7910D9</t>
  </si>
  <si>
    <t>treatment systems, airframe, conventional, Medium-Term</t>
  </si>
  <si>
    <t>DBD8C47118F44BB2A376DB96B412EE84</t>
  </si>
  <si>
    <t>assuming same percentages as for fuselage</t>
  </si>
  <si>
    <t>assuming same tratment for copper as in powerplant</t>
  </si>
  <si>
    <t>treatment of electronics scrap from control units</t>
  </si>
  <si>
    <t>treatment of airframe , conventional, Medium-Term</t>
  </si>
  <si>
    <t>D2B1DEA47A544CC98788C8A29804FD32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</si>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</sst>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4">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i/>
      <sz val="11"/>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i/>
      <sz val="10"/>
      <color rgb="FFFF0000"/>
      <name val="Calibri"/>
      <family val="2"/>
      <scheme val="minor"/>
    </font>
    <font>
      <b/>
      <sz val="10"/>
      <color theme="1"/>
      <name val="Calibri"/>
      <family val="2"/>
      <scheme val="minor"/>
    </font>
    <font>
      <sz val="11"/>
      <color rgb="FFFF0000"/>
      <name val="Calibri"/>
      <family val="2"/>
      <scheme val="minor"/>
    </font>
    <font>
      <sz val="10"/>
      <color theme="1"/>
      <name val="Arial Unicode MS"/>
    </font>
    <font>
      <b/>
      <sz val="11"/>
      <name val="Calibri"/>
      <family val="2"/>
      <scheme val="minor"/>
    </font>
    <font>
      <sz val="11"/>
      <color rgb="FF222222"/>
      <name val="Calibri"/>
      <family val="2"/>
      <scheme val="minor"/>
    </font>
    <font>
      <sz val="10"/>
      <name val="Var(--jp-code-font-family)"/>
    </font>
  </fonts>
  <fills count="11">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6" fillId="0" borderId="0" xfId="0" applyFont="1"/>
    <xf numFmtId="0" fontId="10" fillId="0" borderId="0" xfId="0" applyFont="1"/>
    <xf numFmtId="0" fontId="11" fillId="0" borderId="2" xfId="0" applyFont="1" applyBorder="1"/>
    <xf numFmtId="0" fontId="5" fillId="0" borderId="2" xfId="0" applyFont="1" applyBorder="1"/>
    <xf numFmtId="0" fontId="12" fillId="0" borderId="2" xfId="0" applyFont="1" applyBorder="1"/>
    <xf numFmtId="0" fontId="0" fillId="0" borderId="2" xfId="0" applyBorder="1"/>
    <xf numFmtId="0" fontId="12" fillId="0" borderId="0" xfId="0" applyFont="1"/>
    <xf numFmtId="0" fontId="12" fillId="3" borderId="0" xfId="0" applyFont="1" applyFill="1"/>
    <xf numFmtId="0" fontId="13" fillId="0" borderId="0" xfId="0" applyFont="1"/>
    <xf numFmtId="0" fontId="11" fillId="0" borderId="0" xfId="0" applyFont="1"/>
    <xf numFmtId="0" fontId="6" fillId="0" borderId="0" xfId="0" applyFont="1" applyAlignment="1">
      <alignment horizontal="left" vertical="center"/>
    </xf>
    <xf numFmtId="0" fontId="6" fillId="0" borderId="0" xfId="0" applyFont="1" applyAlignment="1">
      <alignment vertical="center"/>
    </xf>
    <xf numFmtId="0" fontId="14" fillId="0" borderId="0" xfId="0" applyFont="1" applyAlignment="1">
      <alignment horizontal="left" vertical="center"/>
    </xf>
    <xf numFmtId="0" fontId="8" fillId="0" borderId="0" xfId="0" applyFont="1"/>
    <xf numFmtId="0" fontId="8" fillId="0" borderId="0" xfId="0" applyFont="1" applyAlignment="1">
      <alignment horizontal="left" vertical="center"/>
    </xf>
    <xf numFmtId="0" fontId="11"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5" fillId="5" borderId="4" xfId="0" applyFont="1" applyFill="1" applyBorder="1"/>
    <xf numFmtId="0" fontId="15" fillId="5" borderId="5" xfId="0" applyFont="1" applyFill="1" applyBorder="1"/>
    <xf numFmtId="0" fontId="16"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17"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8" fillId="0" borderId="3" xfId="0" applyFont="1" applyBorder="1" applyAlignment="1">
      <alignment horizontal="center" vertical="center"/>
    </xf>
    <xf numFmtId="0" fontId="18" fillId="0" borderId="0" xfId="0" applyFont="1" applyAlignment="1">
      <alignment horizontal="center" vertical="center"/>
    </xf>
    <xf numFmtId="0" fontId="18" fillId="0" borderId="7"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7"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8" fillId="0" borderId="11" xfId="0" applyFont="1" applyBorder="1" applyAlignment="1">
      <alignment horizontal="center" vertical="center"/>
    </xf>
    <xf numFmtId="0" fontId="8" fillId="0" borderId="12" xfId="0" applyFont="1" applyBorder="1" applyAlignment="1">
      <alignment horizontal="center" vertical="center"/>
    </xf>
    <xf numFmtId="0" fontId="5" fillId="0" borderId="0" xfId="0" applyFont="1"/>
    <xf numFmtId="0" fontId="20" fillId="0" borderId="0" xfId="0" applyFont="1" applyAlignment="1">
      <alignment vertical="center"/>
    </xf>
    <xf numFmtId="0" fontId="0" fillId="0" borderId="13" xfId="0" applyBorder="1"/>
    <xf numFmtId="0" fontId="0" fillId="0" borderId="14" xfId="0" applyBorder="1"/>
    <xf numFmtId="0" fontId="9" fillId="0" borderId="13" xfId="0" applyFont="1" applyBorder="1"/>
    <xf numFmtId="0" fontId="9" fillId="0" borderId="0" xfId="0" applyFont="1"/>
    <xf numFmtId="0" fontId="9" fillId="0" borderId="14" xfId="0" applyFont="1" applyBorder="1"/>
    <xf numFmtId="0" fontId="6" fillId="6" borderId="0" xfId="0" applyFont="1" applyFill="1"/>
    <xf numFmtId="0" fontId="0" fillId="6" borderId="0" xfId="0" applyFill="1"/>
    <xf numFmtId="0" fontId="6" fillId="7" borderId="0" xfId="0" applyFont="1" applyFill="1"/>
    <xf numFmtId="0" fontId="0" fillId="7" borderId="0" xfId="0" applyFill="1"/>
    <xf numFmtId="0" fontId="9" fillId="8" borderId="2" xfId="0" applyFont="1" applyFill="1" applyBorder="1"/>
    <xf numFmtId="0" fontId="6" fillId="0" borderId="2" xfId="0" applyFont="1" applyBorder="1"/>
    <xf numFmtId="0" fontId="6" fillId="3" borderId="0" xfId="0" applyFont="1" applyFill="1"/>
    <xf numFmtId="0" fontId="21" fillId="0" borderId="0" xfId="0" applyFont="1"/>
    <xf numFmtId="0" fontId="0" fillId="0" borderId="0" xfId="0" applyAlignment="1">
      <alignment horizontal="right" vertical="center"/>
    </xf>
    <xf numFmtId="0" fontId="22" fillId="0" borderId="0" xfId="0" applyFont="1"/>
    <xf numFmtId="0" fontId="0" fillId="0" borderId="0" xfId="0" applyAlignment="1">
      <alignment horizontal="left" vertical="center"/>
    </xf>
    <xf numFmtId="0" fontId="6" fillId="0" borderId="0" xfId="0" applyFont="1" applyAlignment="1">
      <alignment horizontal="right" vertical="center"/>
    </xf>
    <xf numFmtId="0" fontId="19" fillId="0" borderId="0" xfId="0" applyFont="1" applyAlignment="1">
      <alignment vertical="center"/>
    </xf>
    <xf numFmtId="0" fontId="19" fillId="0" borderId="0" xfId="0" applyFont="1"/>
    <xf numFmtId="0" fontId="0" fillId="0" borderId="0" xfId="0" quotePrefix="1"/>
    <xf numFmtId="0" fontId="0" fillId="7" borderId="0" xfId="0" applyFill="1" applyAlignment="1">
      <alignment horizontal="left" vertical="center"/>
    </xf>
    <xf numFmtId="0" fontId="0" fillId="7" borderId="0" xfId="0" applyFill="1" applyAlignment="1">
      <alignment vertical="center"/>
    </xf>
    <xf numFmtId="0" fontId="0" fillId="6" borderId="1" xfId="0" applyFill="1" applyBorder="1" applyAlignment="1">
      <alignment horizontal="left" vertical="center"/>
    </xf>
    <xf numFmtId="0" fontId="0" fillId="6" borderId="2" xfId="0" applyFill="1" applyBorder="1" applyAlignment="1">
      <alignment vertical="center"/>
    </xf>
    <xf numFmtId="0" fontId="0" fillId="6" borderId="2" xfId="0" applyFill="1" applyBorder="1"/>
    <xf numFmtId="0" fontId="6" fillId="0" borderId="6" xfId="0" applyFont="1" applyBorder="1"/>
    <xf numFmtId="0" fontId="0" fillId="6" borderId="3" xfId="0" applyFill="1" applyBorder="1" applyAlignment="1">
      <alignment horizontal="left" vertical="center"/>
    </xf>
    <xf numFmtId="0" fontId="0" fillId="6" borderId="0" xfId="0" applyFill="1" applyAlignment="1">
      <alignment vertical="center"/>
    </xf>
    <xf numFmtId="0" fontId="0" fillId="6" borderId="0" xfId="0" applyFill="1" applyAlignment="1">
      <alignment horizontal="right"/>
    </xf>
    <xf numFmtId="0" fontId="6" fillId="0" borderId="7" xfId="0" applyFont="1" applyBorder="1"/>
    <xf numFmtId="0" fontId="0" fillId="6" borderId="8" xfId="0" applyFill="1" applyBorder="1" applyAlignment="1">
      <alignment horizontal="left" vertical="center"/>
    </xf>
    <xf numFmtId="0" fontId="0" fillId="6" borderId="9" xfId="0" applyFill="1" applyBorder="1" applyAlignment="1">
      <alignment vertical="center"/>
    </xf>
    <xf numFmtId="0" fontId="0" fillId="6" borderId="9" xfId="0" applyFill="1" applyBorder="1"/>
    <xf numFmtId="0" fontId="6" fillId="0" borderId="10" xfId="0" applyFont="1" applyBorder="1"/>
    <xf numFmtId="0" fontId="6" fillId="6" borderId="1" xfId="0" applyFont="1" applyFill="1" applyBorder="1" applyAlignment="1">
      <alignment horizontal="left" vertical="center"/>
    </xf>
    <xf numFmtId="0" fontId="6" fillId="6" borderId="2" xfId="0" applyFont="1" applyFill="1" applyBorder="1" applyAlignment="1">
      <alignment vertical="center"/>
    </xf>
    <xf numFmtId="0" fontId="6" fillId="6" borderId="2" xfId="0" applyFont="1" applyFill="1" applyBorder="1"/>
    <xf numFmtId="0" fontId="6" fillId="6" borderId="3" xfId="0" applyFont="1" applyFill="1" applyBorder="1" applyAlignment="1">
      <alignment horizontal="left" vertical="center"/>
    </xf>
    <xf numFmtId="0" fontId="6" fillId="6" borderId="0" xfId="0" applyFont="1" applyFill="1" applyAlignment="1">
      <alignment vertical="center"/>
    </xf>
    <xf numFmtId="0" fontId="6" fillId="6" borderId="8" xfId="0" applyFont="1" applyFill="1" applyBorder="1" applyAlignment="1">
      <alignment horizontal="left" vertical="center"/>
    </xf>
    <xf numFmtId="0" fontId="6" fillId="6" borderId="9" xfId="0" applyFont="1" applyFill="1" applyBorder="1" applyAlignment="1">
      <alignment vertical="center"/>
    </xf>
    <xf numFmtId="0" fontId="6" fillId="6" borderId="9" xfId="0" applyFont="1" applyFill="1" applyBorder="1"/>
    <xf numFmtId="0" fontId="23" fillId="0" borderId="0" xfId="0" applyFont="1" applyAlignment="1">
      <alignment horizontal="left" vertical="center"/>
    </xf>
    <xf numFmtId="0" fontId="6" fillId="6" borderId="0" xfId="0" applyFont="1" applyFill="1" applyAlignment="1">
      <alignment horizontal="right"/>
    </xf>
    <xf numFmtId="0" fontId="6" fillId="6" borderId="0" xfId="0" applyFont="1" applyFill="1" applyAlignment="1">
      <alignment horizontal="left" vertical="center"/>
    </xf>
    <xf numFmtId="0" fontId="0" fillId="0" borderId="0" xfId="0" applyAlignment="1">
      <alignment horizontal="right"/>
    </xf>
    <xf numFmtId="0" fontId="12" fillId="9" borderId="15" xfId="0" applyFont="1" applyFill="1" applyBorder="1"/>
    <xf numFmtId="0" fontId="6" fillId="6" borderId="16" xfId="0" applyFont="1" applyFill="1" applyBorder="1" applyAlignment="1">
      <alignment horizontal="right" vertical="center"/>
    </xf>
    <xf numFmtId="0" fontId="6" fillId="6" borderId="16" xfId="0" applyFont="1" applyFill="1" applyBorder="1"/>
    <xf numFmtId="0" fontId="6" fillId="0" borderId="17" xfId="0" applyFont="1" applyBorder="1"/>
    <xf numFmtId="0" fontId="0" fillId="6" borderId="9" xfId="0" applyFill="1" applyBorder="1" applyAlignment="1">
      <alignment horizontal="right" vertical="center"/>
    </xf>
    <xf numFmtId="0" fontId="0" fillId="6" borderId="2" xfId="0" applyFill="1" applyBorder="1" applyAlignment="1">
      <alignment horizontal="right" vertical="center"/>
    </xf>
    <xf numFmtId="0" fontId="0" fillId="6" borderId="0" xfId="0" applyFill="1" applyAlignment="1">
      <alignment horizontal="right" vertical="center"/>
    </xf>
    <xf numFmtId="164" fontId="0" fillId="7" borderId="0" xfId="0" applyNumberFormat="1" applyFill="1" applyAlignment="1">
      <alignment horizontal="right"/>
    </xf>
    <xf numFmtId="0" fontId="0" fillId="7" borderId="0" xfId="0" applyFill="1" applyAlignment="1">
      <alignment horizontal="right"/>
    </xf>
    <xf numFmtId="0" fontId="6" fillId="6" borderId="16" xfId="0" applyFont="1" applyFill="1" applyBorder="1" applyAlignment="1">
      <alignment horizontal="right"/>
    </xf>
    <xf numFmtId="0" fontId="6" fillId="6" borderId="2" xfId="0" applyFont="1" applyFill="1" applyBorder="1" applyAlignment="1">
      <alignment horizontal="right"/>
    </xf>
    <xf numFmtId="0" fontId="6" fillId="6" borderId="9" xfId="0" applyFont="1" applyFill="1" applyBorder="1" applyAlignment="1">
      <alignment horizontal="right"/>
    </xf>
    <xf numFmtId="0" fontId="0" fillId="6" borderId="9" xfId="0" applyFill="1" applyBorder="1" applyAlignment="1">
      <alignment horizontal="right"/>
    </xf>
    <xf numFmtId="0" fontId="6" fillId="0" borderId="0" xfId="0" applyFont="1" applyAlignment="1">
      <alignment horizontal="right"/>
    </xf>
    <xf numFmtId="164" fontId="0" fillId="7" borderId="0" xfId="0" applyNumberFormat="1" applyFill="1"/>
    <xf numFmtId="0" fontId="0" fillId="6" borderId="0" xfId="0" applyFill="1" applyAlignment="1">
      <alignment horizontal="left" vertical="center"/>
    </xf>
    <xf numFmtId="0" fontId="6" fillId="6" borderId="0" xfId="0" applyFont="1" applyFill="1" applyAlignment="1">
      <alignment horizontal="right" vertical="center"/>
    </xf>
    <xf numFmtId="0" fontId="6" fillId="10" borderId="0" xfId="0" applyFont="1" applyFill="1" applyAlignment="1">
      <alignment horizontal="left" vertical="center"/>
    </xf>
    <xf numFmtId="0" fontId="0" fillId="10" borderId="0" xfId="0" applyFill="1" applyAlignment="1">
      <alignment horizontal="left" vertical="center"/>
    </xf>
    <xf numFmtId="0" fontId="12" fillId="6" borderId="0" xfId="0" applyFont="1" applyFill="1"/>
    <xf numFmtId="49" fontId="0" fillId="0" borderId="0" xfId="0" applyNumberFormat="1"/>
    <xf numFmtId="49" fontId="6" fillId="0" borderId="0" xfId="0" applyNumberFormat="1" applyFont="1"/>
    <xf numFmtId="0" fontId="0" fillId="0" borderId="9" xfId="0" applyBorder="1" applyAlignment="1">
      <alignment horizontal="left" vertical="center"/>
    </xf>
    <xf numFmtId="0" fontId="0" fillId="0" borderId="9" xfId="0" applyBorder="1"/>
    <xf numFmtId="0" fontId="14" fillId="0" borderId="9" xfId="0" applyFont="1" applyBorder="1" applyAlignment="1">
      <alignment horizontal="left" vertical="center"/>
    </xf>
    <xf numFmtId="0" fontId="0" fillId="7" borderId="9" xfId="0" applyFill="1" applyBorder="1"/>
    <xf numFmtId="0" fontId="6" fillId="0" borderId="9" xfId="0" applyFont="1" applyBorder="1"/>
    <xf numFmtId="49" fontId="12" fillId="0" borderId="0" xfId="0" applyNumberFormat="1" applyFont="1"/>
    <xf numFmtId="49" fontId="0" fillId="0" borderId="0" xfId="0" applyNumberFormat="1" applyAlignment="1">
      <alignment horizontal="right" vertical="center"/>
    </xf>
    <xf numFmtId="49" fontId="19"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6"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conventional_v01.xlsx" TargetMode="External"/><Relationship Id="rId1" Type="http://schemas.openxmlformats.org/officeDocument/2006/relationships/externalLinkPath" Target="/sites/GENESIS/Delte%20dokumenter/General/3_Collaboration/2_Deliverables/WP3/D3.2/Annex/ANNEX%203.2-B%20LCI%20files/2_Medium-term/GENESIS_LCI_powerplant_medium-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0.1564776840382982</v>
          </cell>
          <cell r="I171">
            <v>3.1121832550178478E-2</v>
          </cell>
          <cell r="J171">
            <v>0.90055367234815387</v>
          </cell>
          <cell r="K171">
            <v>4.7424079489028061</v>
          </cell>
          <cell r="L171">
            <v>0.16831485598336846</v>
          </cell>
          <cell r="Q171">
            <v>3.9811457810415195E-2</v>
          </cell>
        </row>
        <row r="172">
          <cell r="H172">
            <v>1.4358034678188925</v>
          </cell>
          <cell r="I172">
            <v>1.201609994751841E-3</v>
          </cell>
          <cell r="J172">
            <v>3.9815993385422077E-2</v>
          </cell>
          <cell r="K172">
            <v>0.30131055227942688</v>
          </cell>
          <cell r="L172">
            <v>0.13068821435307618</v>
          </cell>
          <cell r="Q172">
            <v>4.6958854912917451E-2</v>
          </cell>
        </row>
        <row r="173">
          <cell r="H173">
            <v>0.11809969096198841</v>
          </cell>
          <cell r="I173">
            <v>1.1223630841721232E-4</v>
          </cell>
          <cell r="J173">
            <v>4.2404859209760042E-3</v>
          </cell>
          <cell r="K173">
            <v>3.3813381696224103E-2</v>
          </cell>
          <cell r="L173">
            <v>4.6893937593576922E-3</v>
          </cell>
          <cell r="Q173">
            <v>4.2962084098430407E-3</v>
          </cell>
        </row>
        <row r="174">
          <cell r="H174">
            <v>131.87067300000001</v>
          </cell>
          <cell r="I174">
            <v>6.7869563629930347</v>
          </cell>
          <cell r="J174">
            <v>195.03074766463308</v>
          </cell>
          <cell r="K174">
            <v>1150.3799123796721</v>
          </cell>
          <cell r="L174">
            <v>78.999411345009634</v>
          </cell>
          <cell r="Q174">
            <v>17.6034977459076</v>
          </cell>
        </row>
        <row r="175">
          <cell r="H175">
            <v>51.508710000000008</v>
          </cell>
          <cell r="I175">
            <v>2.650986448549201</v>
          </cell>
          <cell r="J175">
            <v>76.179047198316511</v>
          </cell>
          <cell r="K175">
            <v>449.33861296506723</v>
          </cell>
          <cell r="L175">
            <v>30.857185123646193</v>
          </cell>
          <cell r="Q175">
            <v>6.8759295736634956</v>
          </cell>
        </row>
        <row r="176">
          <cell r="H176">
            <v>3.5176679999999995E-2</v>
          </cell>
          <cell r="I176">
            <v>1.8104297697409174E-3</v>
          </cell>
          <cell r="J176">
            <v>5.2024715159825916E-2</v>
          </cell>
          <cell r="K176">
            <v>0.30686539422004588</v>
          </cell>
          <cell r="L176">
            <v>2.1073199596636422E-2</v>
          </cell>
          <cell r="Q176">
            <v>4.6957567820140947E-3</v>
          </cell>
        </row>
        <row r="322">
          <cell r="H322">
            <v>83.754000000000005</v>
          </cell>
          <cell r="I322">
            <v>4.1721852643154307</v>
          </cell>
          <cell r="J322">
            <v>117.63447786981044</v>
          </cell>
          <cell r="K322">
            <v>164.62077936826131</v>
          </cell>
          <cell r="L322">
            <v>50.172054029837568</v>
          </cell>
          <cell r="Q322">
            <v>11.183493232147455</v>
          </cell>
        </row>
        <row r="357">
          <cell r="H357">
            <v>0.1564776840382982</v>
          </cell>
          <cell r="I357">
            <v>3.0122870492142888E-2</v>
          </cell>
          <cell r="J357">
            <v>0.85515751142839291</v>
          </cell>
          <cell r="K357">
            <v>1.0855291655534427</v>
          </cell>
          <cell r="L357">
            <v>0.16830751022700649</v>
          </cell>
          <cell r="Q357">
            <v>3.9820062960936896E-2</v>
          </cell>
        </row>
        <row r="358">
          <cell r="H358">
            <v>1.4358034678188925</v>
          </cell>
          <cell r="I358">
            <v>1.1630406297400361E-3</v>
          </cell>
          <cell r="J358">
            <v>3.7791985570692126E-2</v>
          </cell>
          <cell r="K358">
            <v>6.7898289370319651E-2</v>
          </cell>
          <cell r="L358">
            <v>0.13068248654403039</v>
          </cell>
          <cell r="Q358">
            <v>4.6988762049524638E-2</v>
          </cell>
        </row>
        <row r="359">
          <cell r="H359">
            <v>0.11809969096198841</v>
          </cell>
          <cell r="I359">
            <v>1.08633449249077E-4</v>
          </cell>
          <cell r="J359">
            <v>4.0239634943852517E-3</v>
          </cell>
          <cell r="K359">
            <v>7.6229581675880268E-3</v>
          </cell>
          <cell r="L359">
            <v>4.6891509089202555E-3</v>
          </cell>
          <cell r="Q359">
            <v>4.2993441175864953E-3</v>
          </cell>
        </row>
        <row r="360">
          <cell r="H360">
            <v>131.87067300000001</v>
          </cell>
          <cell r="I360">
            <v>6.5691056986646457</v>
          </cell>
          <cell r="J360">
            <v>185.21548540601651</v>
          </cell>
          <cell r="K360">
            <v>259.19541711532742</v>
          </cell>
          <cell r="L360">
            <v>78.995899069979245</v>
          </cell>
          <cell r="Q360">
            <v>17.608410094016168</v>
          </cell>
        </row>
        <row r="361">
          <cell r="H361">
            <v>51.508710000000008</v>
          </cell>
          <cell r="I361">
            <v>2.56589393755399</v>
          </cell>
          <cell r="J361">
            <v>72.34520388993343</v>
          </cell>
          <cell r="K361">
            <v>101.2417793114807</v>
          </cell>
          <cell r="L361">
            <v>30.855813228350105</v>
          </cell>
          <cell r="Q361">
            <v>6.8778483377706836</v>
          </cell>
        </row>
        <row r="362">
          <cell r="H362">
            <v>3.5176679999999995E-2</v>
          </cell>
          <cell r="I362">
            <v>1.7523178110124809E-3</v>
          </cell>
          <cell r="J362">
            <v>4.9406480705320388E-2</v>
          </cell>
          <cell r="K362">
            <v>6.9140727334669749E-2</v>
          </cell>
          <cell r="L362">
            <v>2.1072262692531776E-2</v>
          </cell>
          <cell r="Q362">
            <v>4.6970671575019309E-3</v>
          </cell>
        </row>
      </sheetData>
      <sheetData sheetId="3">
        <row r="171">
          <cell r="H171">
            <v>0.15370886191941724</v>
          </cell>
          <cell r="I171">
            <v>3.0570944136832756E-2</v>
          </cell>
          <cell r="J171">
            <v>0.88461294704244908</v>
          </cell>
          <cell r="K171">
            <v>4.6584624554554983</v>
          </cell>
          <cell r="L171">
            <v>0.16533551009151928</v>
          </cell>
          <cell r="Q171">
            <v>3.9106754101506061E-2</v>
          </cell>
        </row>
        <row r="172">
          <cell r="H172">
            <v>1.1015515119407016</v>
          </cell>
          <cell r="I172">
            <v>9.2081347732249808E-4</v>
          </cell>
          <cell r="J172">
            <v>3.0505916696706319E-2</v>
          </cell>
          <cell r="K172">
            <v>0.23081815039498124</v>
          </cell>
          <cell r="L172">
            <v>0.10015763437828451</v>
          </cell>
          <cell r="Q172">
            <v>3.6039713267466307E-2</v>
          </cell>
        </row>
        <row r="173">
          <cell r="H173">
            <v>0.11525328723356636</v>
          </cell>
          <cell r="I173">
            <v>1.1013981338123535E-4</v>
          </cell>
          <cell r="J173">
            <v>4.1609676684768943E-3</v>
          </cell>
          <cell r="K173">
            <v>3.3188033345207577E-2</v>
          </cell>
          <cell r="L173">
            <v>4.5929401906558056E-3</v>
          </cell>
          <cell r="Q173">
            <v>4.18546244998785E-3</v>
          </cell>
        </row>
        <row r="174">
          <cell r="H174">
            <v>127.52166417216002</v>
          </cell>
          <cell r="I174">
            <v>6.5630845385993055</v>
          </cell>
          <cell r="J174">
            <v>188.5975415325548</v>
          </cell>
          <cell r="K174">
            <v>1112.4339413204498</v>
          </cell>
          <cell r="L174">
            <v>76.393568401879435</v>
          </cell>
          <cell r="Q174">
            <v>17.022835819513645</v>
          </cell>
        </row>
        <row r="175">
          <cell r="H175">
            <v>55.657008000000005</v>
          </cell>
          <cell r="I175">
            <v>2.8644673910179774</v>
          </cell>
          <cell r="J175">
            <v>82.313659769108824</v>
          </cell>
          <cell r="K175">
            <v>485.52334360972662</v>
          </cell>
          <cell r="L175">
            <v>33.342079365838408</v>
          </cell>
          <cell r="Q175">
            <v>7.4296404108267478</v>
          </cell>
        </row>
        <row r="176">
          <cell r="H176">
            <v>8.9841024000000026E-3</v>
          </cell>
          <cell r="I176">
            <v>4.6237965868316797E-4</v>
          </cell>
          <cell r="J176">
            <v>1.3286994304193181E-2</v>
          </cell>
          <cell r="K176">
            <v>7.8372725975139931E-2</v>
          </cell>
          <cell r="L176">
            <v>5.3820474009601688E-3</v>
          </cell>
          <cell r="Q176">
            <v>1.1992856361600606E-3</v>
          </cell>
        </row>
        <row r="357">
          <cell r="H357">
            <v>0.15370886191941724</v>
          </cell>
          <cell r="I357">
            <v>2.9589664733642645E-2</v>
          </cell>
          <cell r="J357">
            <v>0.84002034481482979</v>
          </cell>
          <cell r="K357">
            <v>1.0663141839585104</v>
          </cell>
          <cell r="L357">
            <v>0.16532829436259261</v>
          </cell>
          <cell r="Q357">
            <v>3.9115206932021862E-2</v>
          </cell>
        </row>
        <row r="358">
          <cell r="H358">
            <v>1.1015515119407016</v>
          </cell>
          <cell r="I358">
            <v>8.9125713094463232E-4</v>
          </cell>
          <cell r="J358">
            <v>2.8955192666242673E-2</v>
          </cell>
          <cell r="K358">
            <v>5.201321187665623E-2</v>
          </cell>
          <cell r="L358">
            <v>0.10015324371791996</v>
          </cell>
          <cell r="Q358">
            <v>3.6062675659826189E-2</v>
          </cell>
        </row>
        <row r="359">
          <cell r="H359">
            <v>0.11525328723356636</v>
          </cell>
          <cell r="I359">
            <v>1.0660425734292572E-4</v>
          </cell>
          <cell r="J359">
            <v>3.9485053029596918E-3</v>
          </cell>
          <cell r="K359">
            <v>7.4819043173926314E-3</v>
          </cell>
          <cell r="L359">
            <v>4.5927027990594451E-3</v>
          </cell>
          <cell r="Q359">
            <v>4.1885166195961233E-3</v>
          </cell>
        </row>
        <row r="360">
          <cell r="H360">
            <v>127.52166417216002</v>
          </cell>
          <cell r="I360">
            <v>6.35241980903462</v>
          </cell>
          <cell r="J360">
            <v>179.10604158375958</v>
          </cell>
          <cell r="K360">
            <v>250.64570089488711</v>
          </cell>
          <cell r="L360">
            <v>76.390171981346512</v>
          </cell>
          <cell r="Q360">
            <v>17.027586130874912</v>
          </cell>
        </row>
        <row r="361">
          <cell r="H361">
            <v>55.657008000000005</v>
          </cell>
          <cell r="I361">
            <v>2.7725224762867025</v>
          </cell>
          <cell r="J361">
            <v>78.171081392238619</v>
          </cell>
          <cell r="K361">
            <v>109.39466537261428</v>
          </cell>
          <cell r="L361">
            <v>33.340596993364684</v>
          </cell>
          <cell r="Q361">
            <v>7.4317136908388388</v>
          </cell>
        </row>
        <row r="362">
          <cell r="H362">
            <v>8.9841024000000026E-3</v>
          </cell>
          <cell r="I362">
            <v>4.4753799617222167E-4</v>
          </cell>
          <cell r="J362">
            <v>1.2618303160432312E-2</v>
          </cell>
          <cell r="K362">
            <v>1.765838500914927E-2</v>
          </cell>
          <cell r="L362">
            <v>5.381808117775941E-3</v>
          </cell>
          <cell r="Q362">
            <v>1.1996203030888416E-3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F256-5FCF-4BC1-A6E6-F14C9E7E62EB}">
  <dimension ref="A1:N83"/>
  <sheetViews>
    <sheetView workbookViewId="0">
      <selection activeCell="N1" sqref="N1"/>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3" t="str">
        <f ca="1">UPPER(CONCATENATE(DEC2HEX(RANDBETWEEN(0,POWER(16,8)),8),DEC2HEX(RANDBETWEEN(0,POWER(16,4)),4),"4",DEC2HEX(RANDBETWEEN(0,POWER(16,3)),3),DEC2HEX(RANDBETWEEN(8,11)),DEC2HEX(RANDBETWEEN(0,POWER(16,3)),3),DEC2HEX(RANDBETWEEN(0,POWER(16,8)),8),DEC2HEX(RANDBETWEEN(0,POWER(16,4)),4)))</f>
        <v>31968C40D49D4DAAAA48A3F76CC65B79</v>
      </c>
    </row>
    <row r="2" spans="1:14" ht="15.75">
      <c r="A2" s="16" t="s">
        <v>1</v>
      </c>
      <c r="B2" s="16" t="s">
        <v>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1003.92</v>
      </c>
      <c r="C17" t="s">
        <v>37</v>
      </c>
      <c r="D17" t="s">
        <v>38</v>
      </c>
      <c r="E17" t="s">
        <v>29</v>
      </c>
      <c r="F17" t="s">
        <v>39</v>
      </c>
      <c r="G17" t="s">
        <v>33</v>
      </c>
      <c r="H17">
        <v>2</v>
      </c>
      <c r="I17">
        <f>LN(B17)</f>
        <v>6.9116676158020525</v>
      </c>
      <c r="J17">
        <v>5.0990195135927806E-2</v>
      </c>
      <c r="K17" t="s">
        <v>31</v>
      </c>
      <c r="L17" t="s">
        <v>31</v>
      </c>
      <c r="M17" t="s">
        <v>31</v>
      </c>
    </row>
    <row r="18" spans="1:14">
      <c r="A18" t="s">
        <v>40</v>
      </c>
      <c r="B18">
        <f>2*N18</f>
        <v>12.077374903266442</v>
      </c>
      <c r="C18" t="s">
        <v>37</v>
      </c>
      <c r="D18" t="s">
        <v>41</v>
      </c>
      <c r="E18" t="s">
        <v>42</v>
      </c>
      <c r="F18" t="s">
        <v>29</v>
      </c>
      <c r="G18" t="s">
        <v>43</v>
      </c>
      <c r="H18">
        <v>2</v>
      </c>
      <c r="I18">
        <f>LN(B18)</f>
        <v>2.4913338595593264</v>
      </c>
      <c r="J18">
        <v>5.0990195135927806E-2</v>
      </c>
      <c r="K18" t="s">
        <v>31</v>
      </c>
      <c r="L18" t="s">
        <v>31</v>
      </c>
      <c r="M18" t="s">
        <v>31</v>
      </c>
      <c r="N18">
        <f>SUM('[1]Use (kerosene)'!H171:L171,'[1]Use (kerosene)'!Q171)</f>
        <v>6.038687451633221</v>
      </c>
    </row>
    <row r="19" spans="1:14">
      <c r="A19" t="s">
        <v>44</v>
      </c>
      <c r="B19">
        <f t="shared" ref="B19:B23" si="0">2*N19</f>
        <v>3.9115573854889734</v>
      </c>
      <c r="C19" t="s">
        <v>37</v>
      </c>
      <c r="D19" t="s">
        <v>41</v>
      </c>
      <c r="E19" t="s">
        <v>42</v>
      </c>
      <c r="F19" t="s">
        <v>29</v>
      </c>
      <c r="G19" t="s">
        <v>43</v>
      </c>
      <c r="H19">
        <v>2</v>
      </c>
      <c r="I19">
        <f t="shared" ref="I19:I23" si="1">LN(B19)</f>
        <v>1.3639356030027776</v>
      </c>
      <c r="J19">
        <v>5.0990195135927806E-2</v>
      </c>
      <c r="K19" t="s">
        <v>31</v>
      </c>
      <c r="L19" t="s">
        <v>31</v>
      </c>
      <c r="M19" t="s">
        <v>31</v>
      </c>
      <c r="N19">
        <f>SUM('[1]Use (kerosene)'!H172:L172,'[1]Use (kerosene)'!Q172)</f>
        <v>1.9557786927444867</v>
      </c>
    </row>
    <row r="20" spans="1:14">
      <c r="A20" t="s">
        <v>45</v>
      </c>
      <c r="B20">
        <f t="shared" si="0"/>
        <v>0.33050279411361294</v>
      </c>
      <c r="C20" t="s">
        <v>37</v>
      </c>
      <c r="D20" t="s">
        <v>41</v>
      </c>
      <c r="E20" t="s">
        <v>42</v>
      </c>
      <c r="F20" t="s">
        <v>29</v>
      </c>
      <c r="G20" t="s">
        <v>43</v>
      </c>
      <c r="H20">
        <v>2</v>
      </c>
      <c r="I20">
        <f t="shared" si="1"/>
        <v>-1.1071401655245807</v>
      </c>
      <c r="J20">
        <v>5.0990195135927806E-2</v>
      </c>
      <c r="K20" t="s">
        <v>31</v>
      </c>
      <c r="L20" t="s">
        <v>31</v>
      </c>
      <c r="M20" t="s">
        <v>31</v>
      </c>
      <c r="N20">
        <f>SUM('[1]Use (kerosene)'!H173:L173,'[1]Use (kerosene)'!Q173)</f>
        <v>0.16525139705680647</v>
      </c>
    </row>
    <row r="21" spans="1:14">
      <c r="A21" t="s">
        <v>46</v>
      </c>
      <c r="B21">
        <f t="shared" si="0"/>
        <v>3161.3423969964306</v>
      </c>
      <c r="C21" t="s">
        <v>37</v>
      </c>
      <c r="D21" t="s">
        <v>41</v>
      </c>
      <c r="E21" t="s">
        <v>42</v>
      </c>
      <c r="F21" t="s">
        <v>29</v>
      </c>
      <c r="G21" t="s">
        <v>43</v>
      </c>
      <c r="H21">
        <v>2</v>
      </c>
      <c r="I21">
        <f t="shared" si="1"/>
        <v>8.058752025551172</v>
      </c>
      <c r="J21">
        <v>5.0990195135927806E-2</v>
      </c>
      <c r="K21" t="s">
        <v>31</v>
      </c>
      <c r="L21" t="s">
        <v>31</v>
      </c>
      <c r="M21" t="s">
        <v>31</v>
      </c>
      <c r="N21">
        <f>SUM('[1]Use (kerosene)'!H174:L174,'[1]Use (kerosene)'!Q174)</f>
        <v>1580.6711984982153</v>
      </c>
    </row>
    <row r="22" spans="1:14">
      <c r="A22" t="s">
        <v>47</v>
      </c>
      <c r="B22">
        <f>2*N22/1000</f>
        <v>1.2348209426184853</v>
      </c>
      <c r="C22" t="s">
        <v>48</v>
      </c>
      <c r="D22" t="s">
        <v>41</v>
      </c>
      <c r="E22" t="s">
        <v>42</v>
      </c>
      <c r="F22" t="s">
        <v>29</v>
      </c>
      <c r="G22" t="s">
        <v>43</v>
      </c>
      <c r="H22">
        <v>2</v>
      </c>
      <c r="I22">
        <f t="shared" si="1"/>
        <v>0.21092597383447295</v>
      </c>
      <c r="J22">
        <v>5.0990195135927806E-2</v>
      </c>
      <c r="K22" t="s">
        <v>31</v>
      </c>
      <c r="L22" t="s">
        <v>31</v>
      </c>
      <c r="M22" t="s">
        <v>31</v>
      </c>
      <c r="N22">
        <f>SUM('[1]Use (kerosene)'!H175:L175,'[1]Use (kerosene)'!Q175)</f>
        <v>617.41047130924267</v>
      </c>
    </row>
    <row r="23" spans="1:14">
      <c r="A23" t="s">
        <v>49</v>
      </c>
      <c r="B23">
        <f t="shared" si="0"/>
        <v>0.84329235105652656</v>
      </c>
      <c r="C23" t="s">
        <v>37</v>
      </c>
      <c r="D23" t="s">
        <v>41</v>
      </c>
      <c r="E23" t="s">
        <v>42</v>
      </c>
      <c r="F23" t="s">
        <v>29</v>
      </c>
      <c r="G23" t="s">
        <v>43</v>
      </c>
      <c r="H23">
        <v>2</v>
      </c>
      <c r="I23">
        <f t="shared" si="1"/>
        <v>-0.17044158269463089</v>
      </c>
      <c r="J23">
        <v>5.0990195135927806E-2</v>
      </c>
      <c r="K23" t="s">
        <v>31</v>
      </c>
      <c r="L23" t="s">
        <v>31</v>
      </c>
      <c r="M23" t="s">
        <v>31</v>
      </c>
      <c r="N23">
        <f>SUM('[1]Use (kerosene)'!H176:L176,'[1]Use (kerosene)'!Q176)</f>
        <v>0.42164617552826328</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f>SUM('[1]Use (kerosene)'!$H$322:$L$322,'[1]Use (kerosene)'!$Q$322)</f>
        <v>431.53698976437221</v>
      </c>
      <c r="C37" t="s">
        <v>37</v>
      </c>
      <c r="D37" t="s">
        <v>38</v>
      </c>
      <c r="E37" t="s">
        <v>29</v>
      </c>
      <c r="F37" t="s">
        <v>39</v>
      </c>
      <c r="G37" t="s">
        <v>33</v>
      </c>
      <c r="H37">
        <v>2</v>
      </c>
      <c r="I37">
        <f>LN(B37)</f>
        <v>6.0673532305211966</v>
      </c>
      <c r="J37">
        <v>5.0990195135927806E-2</v>
      </c>
      <c r="K37" t="s">
        <v>31</v>
      </c>
      <c r="L37" t="s">
        <v>31</v>
      </c>
      <c r="M37" t="s">
        <v>31</v>
      </c>
    </row>
    <row r="38" spans="1:14">
      <c r="A38" t="s">
        <v>40</v>
      </c>
      <c r="B38">
        <f>2*N38</f>
        <v>4.6708296094004407</v>
      </c>
      <c r="C38" t="s">
        <v>37</v>
      </c>
      <c r="D38" t="s">
        <v>41</v>
      </c>
      <c r="E38" t="s">
        <v>42</v>
      </c>
      <c r="F38" t="s">
        <v>29</v>
      </c>
      <c r="G38" t="s">
        <v>43</v>
      </c>
      <c r="H38">
        <v>2</v>
      </c>
      <c r="I38">
        <f>LN(B38)</f>
        <v>1.5413367024560825</v>
      </c>
      <c r="J38">
        <v>5.0990195135927806E-2</v>
      </c>
      <c r="K38" t="s">
        <v>31</v>
      </c>
      <c r="L38" t="s">
        <v>31</v>
      </c>
      <c r="M38" t="s">
        <v>31</v>
      </c>
      <c r="N38">
        <f>SUM('[1]Use (kerosene)'!H357:L357,'[1]Use (kerosene)'!Q357)</f>
        <v>2.3354148047002203</v>
      </c>
    </row>
    <row r="39" spans="1:14">
      <c r="A39" t="s">
        <v>44</v>
      </c>
      <c r="B39">
        <f t="shared" ref="B39:B40" si="2">2*N39</f>
        <v>3.4406560639663986</v>
      </c>
      <c r="C39" t="s">
        <v>37</v>
      </c>
      <c r="D39" t="s">
        <v>41</v>
      </c>
      <c r="E39" t="s">
        <v>42</v>
      </c>
      <c r="F39" t="s">
        <v>29</v>
      </c>
      <c r="G39" t="s">
        <v>43</v>
      </c>
      <c r="H39">
        <v>2</v>
      </c>
      <c r="I39">
        <f t="shared" ref="I39:I43" si="3">LN(B39)</f>
        <v>1.2356621694705732</v>
      </c>
      <c r="J39">
        <v>5.0990195135927806E-2</v>
      </c>
      <c r="K39" t="s">
        <v>31</v>
      </c>
      <c r="L39" t="s">
        <v>31</v>
      </c>
      <c r="M39" t="s">
        <v>31</v>
      </c>
      <c r="N39">
        <f>SUM('[1]Use (kerosene)'!H358:L358,'[1]Use (kerosene)'!Q358)</f>
        <v>1.7203280319831993</v>
      </c>
    </row>
    <row r="40" spans="1:14">
      <c r="A40" t="s">
        <v>45</v>
      </c>
      <c r="B40">
        <f t="shared" si="2"/>
        <v>0.27768748219943507</v>
      </c>
      <c r="C40" t="s">
        <v>37</v>
      </c>
      <c r="D40" t="s">
        <v>41</v>
      </c>
      <c r="E40" t="s">
        <v>42</v>
      </c>
      <c r="F40" t="s">
        <v>29</v>
      </c>
      <c r="G40" t="s">
        <v>43</v>
      </c>
      <c r="H40">
        <v>2</v>
      </c>
      <c r="I40">
        <f t="shared" si="3"/>
        <v>-1.281258962388879</v>
      </c>
      <c r="J40">
        <v>5.0990195135927806E-2</v>
      </c>
      <c r="K40" t="s">
        <v>31</v>
      </c>
      <c r="L40" t="s">
        <v>31</v>
      </c>
      <c r="M40" t="s">
        <v>31</v>
      </c>
      <c r="N40">
        <f>SUM('[1]Use (kerosene)'!H359:L359,'[1]Use (kerosene)'!Q359)</f>
        <v>0.13884374109971753</v>
      </c>
    </row>
    <row r="41" spans="1:14">
      <c r="A41" t="s">
        <v>46</v>
      </c>
      <c r="B41">
        <f>2*N41</f>
        <v>1358.9099807680082</v>
      </c>
      <c r="C41" t="s">
        <v>37</v>
      </c>
      <c r="D41" t="s">
        <v>41</v>
      </c>
      <c r="E41" t="s">
        <v>42</v>
      </c>
      <c r="F41" t="s">
        <v>29</v>
      </c>
      <c r="G41" t="s">
        <v>43</v>
      </c>
      <c r="H41">
        <v>2</v>
      </c>
      <c r="I41">
        <f t="shared" si="3"/>
        <v>7.2144381726400839</v>
      </c>
      <c r="J41">
        <v>5.0990195135927806E-2</v>
      </c>
      <c r="K41" t="s">
        <v>31</v>
      </c>
      <c r="L41" t="s">
        <v>31</v>
      </c>
      <c r="M41" t="s">
        <v>31</v>
      </c>
      <c r="N41">
        <f>SUM('[1]Use (kerosene)'!H360:L360,'[1]Use (kerosene)'!Q360)</f>
        <v>679.45499038400408</v>
      </c>
    </row>
    <row r="42" spans="1:14">
      <c r="A42" t="s">
        <v>47</v>
      </c>
      <c r="B42">
        <f>2*N42/1000</f>
        <v>0.5307904974101777</v>
      </c>
      <c r="C42" t="s">
        <v>48</v>
      </c>
      <c r="D42" t="s">
        <v>41</v>
      </c>
      <c r="E42" t="s">
        <v>42</v>
      </c>
      <c r="F42" t="s">
        <v>29</v>
      </c>
      <c r="G42" t="s">
        <v>43</v>
      </c>
      <c r="H42">
        <v>2</v>
      </c>
      <c r="I42">
        <f t="shared" si="3"/>
        <v>-0.63338787907661454</v>
      </c>
      <c r="J42">
        <v>5.0990195135927806E-2</v>
      </c>
      <c r="K42" t="s">
        <v>31</v>
      </c>
      <c r="L42" t="s">
        <v>31</v>
      </c>
      <c r="M42" t="s">
        <v>31</v>
      </c>
      <c r="N42">
        <f>SUM('[1]Use (kerosene)'!H361:L361,'[1]Use (kerosene)'!Q361)</f>
        <v>265.39524870508887</v>
      </c>
    </row>
    <row r="43" spans="1:14">
      <c r="A43" t="s">
        <v>49</v>
      </c>
      <c r="B43">
        <f t="shared" ref="B43" si="4">2*N43</f>
        <v>0.36249107140207265</v>
      </c>
      <c r="C43" t="s">
        <v>37</v>
      </c>
      <c r="D43" t="s">
        <v>41</v>
      </c>
      <c r="E43" t="s">
        <v>42</v>
      </c>
      <c r="F43" t="s">
        <v>29</v>
      </c>
      <c r="G43" t="s">
        <v>43</v>
      </c>
      <c r="H43">
        <v>2</v>
      </c>
      <c r="I43">
        <f t="shared" si="3"/>
        <v>-1.0147554356057182</v>
      </c>
      <c r="J43">
        <v>5.0990195135927806E-2</v>
      </c>
      <c r="K43" t="s">
        <v>31</v>
      </c>
      <c r="L43" t="s">
        <v>31</v>
      </c>
      <c r="M43" t="s">
        <v>31</v>
      </c>
      <c r="N43">
        <f>SUM('[1]Use (kerosene)'!H362:L362,'[1]Use (kerosene)'!Q362)</f>
        <v>0.18124553570103633</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986.15</v>
      </c>
      <c r="C57" t="s">
        <v>37</v>
      </c>
      <c r="D57" t="s">
        <v>2</v>
      </c>
      <c r="E57" t="s">
        <v>29</v>
      </c>
      <c r="F57" t="s">
        <v>57</v>
      </c>
      <c r="G57" t="s">
        <v>33</v>
      </c>
      <c r="H57">
        <v>2</v>
      </c>
      <c r="I57">
        <f>LN(B57)</f>
        <v>6.8938084728495124</v>
      </c>
      <c r="J57">
        <v>5.0990195135927806E-2</v>
      </c>
      <c r="K57" t="s">
        <v>31</v>
      </c>
      <c r="L57" t="s">
        <v>31</v>
      </c>
      <c r="M57" t="s">
        <v>31</v>
      </c>
    </row>
    <row r="58" spans="1:14">
      <c r="A58" t="s">
        <v>40</v>
      </c>
      <c r="B58">
        <f>2*N58</f>
        <v>11.863594945494444</v>
      </c>
      <c r="C58" t="s">
        <v>37</v>
      </c>
      <c r="D58" t="s">
        <v>41</v>
      </c>
      <c r="E58" t="s">
        <v>42</v>
      </c>
      <c r="F58" t="s">
        <v>29</v>
      </c>
      <c r="G58" t="s">
        <v>43</v>
      </c>
      <c r="H58">
        <v>2</v>
      </c>
      <c r="I58">
        <f>LN(B58)</f>
        <v>2.4734744627739071</v>
      </c>
      <c r="J58">
        <v>5.0990195135927806E-2</v>
      </c>
      <c r="K58" t="s">
        <v>31</v>
      </c>
      <c r="L58" t="s">
        <v>31</v>
      </c>
      <c r="M58" t="s">
        <v>31</v>
      </c>
      <c r="N58" s="22">
        <f>SUM('[1]Use (HEFA)'!H171:L171,'[1]Use (HEFA)'!Q171)</f>
        <v>5.9317974727472222</v>
      </c>
    </row>
    <row r="59" spans="1:14">
      <c r="A59" t="s">
        <v>44</v>
      </c>
      <c r="B59">
        <f t="shared" ref="B59:B61" si="5">2*N59</f>
        <v>2.9999874803109248</v>
      </c>
      <c r="C59" t="s">
        <v>37</v>
      </c>
      <c r="D59" t="s">
        <v>41</v>
      </c>
      <c r="E59" t="s">
        <v>42</v>
      </c>
      <c r="F59" t="s">
        <v>29</v>
      </c>
      <c r="G59" t="s">
        <v>43</v>
      </c>
      <c r="H59">
        <v>2</v>
      </c>
      <c r="I59">
        <f t="shared" ref="I59:I63" si="6">LN(B59)</f>
        <v>1.09860811542971</v>
      </c>
      <c r="J59">
        <v>5.0990195135927806E-2</v>
      </c>
      <c r="K59" t="s">
        <v>31</v>
      </c>
      <c r="L59" t="s">
        <v>31</v>
      </c>
      <c r="M59" t="s">
        <v>31</v>
      </c>
      <c r="N59" s="22">
        <f>SUM('[1]Use (HEFA)'!H172:L172,'[1]Use (HEFA)'!Q172)</f>
        <v>1.4999937401554624</v>
      </c>
    </row>
    <row r="60" spans="1:14">
      <c r="A60" t="s">
        <v>45</v>
      </c>
      <c r="B60">
        <f t="shared" si="5"/>
        <v>0.32298166140255147</v>
      </c>
      <c r="C60" t="s">
        <v>37</v>
      </c>
      <c r="D60" t="s">
        <v>41</v>
      </c>
      <c r="E60" t="s">
        <v>42</v>
      </c>
      <c r="F60" t="s">
        <v>29</v>
      </c>
      <c r="G60" t="s">
        <v>43</v>
      </c>
      <c r="H60">
        <v>2</v>
      </c>
      <c r="I60">
        <f t="shared" si="6"/>
        <v>-1.1301597332147837</v>
      </c>
      <c r="J60">
        <v>5.0990195135927806E-2</v>
      </c>
      <c r="K60" t="s">
        <v>31</v>
      </c>
      <c r="L60" t="s">
        <v>31</v>
      </c>
      <c r="M60" t="s">
        <v>31</v>
      </c>
      <c r="N60" s="22">
        <f>SUM('[1]Use (HEFA)'!H173:L173,'[1]Use (HEFA)'!Q173)</f>
        <v>0.16149083070127573</v>
      </c>
    </row>
    <row r="61" spans="1:14">
      <c r="A61" t="s">
        <v>46</v>
      </c>
      <c r="B61">
        <f t="shared" si="5"/>
        <v>3057.0652715703141</v>
      </c>
      <c r="C61" t="s">
        <v>37</v>
      </c>
      <c r="D61" t="s">
        <v>41</v>
      </c>
      <c r="E61" t="s">
        <v>42</v>
      </c>
      <c r="F61" t="s">
        <v>29</v>
      </c>
      <c r="G61" t="s">
        <v>43</v>
      </c>
      <c r="H61">
        <v>2</v>
      </c>
      <c r="I61">
        <f t="shared" si="6"/>
        <v>8.0252106731742821</v>
      </c>
      <c r="J61">
        <v>5.0990195135927806E-2</v>
      </c>
      <c r="K61" t="s">
        <v>31</v>
      </c>
      <c r="L61" t="s">
        <v>31</v>
      </c>
      <c r="M61" t="s">
        <v>31</v>
      </c>
      <c r="N61" s="22">
        <f>SUM('[1]Use (HEFA)'!H174:L174,'[1]Use (HEFA)'!Q174)</f>
        <v>1528.532635785157</v>
      </c>
    </row>
    <row r="62" spans="1:14">
      <c r="A62" t="s">
        <v>47</v>
      </c>
      <c r="B62">
        <f>2*N62/1000</f>
        <v>1.3342603970930376</v>
      </c>
      <c r="C62" t="s">
        <v>48</v>
      </c>
      <c r="D62" t="s">
        <v>41</v>
      </c>
      <c r="E62" t="s">
        <v>42</v>
      </c>
      <c r="F62" t="s">
        <v>29</v>
      </c>
      <c r="G62" t="s">
        <v>43</v>
      </c>
      <c r="H62">
        <v>2</v>
      </c>
      <c r="I62">
        <f t="shared" si="6"/>
        <v>0.28837712866401632</v>
      </c>
      <c r="J62">
        <v>5.0990195135927806E-2</v>
      </c>
      <c r="K62" t="s">
        <v>31</v>
      </c>
      <c r="L62" t="s">
        <v>31</v>
      </c>
      <c r="M62" t="s">
        <v>31</v>
      </c>
      <c r="N62" s="22">
        <f>SUM('[1]Use (HEFA)'!H175:L175,'[1]Use (HEFA)'!Q175)</f>
        <v>667.13019854651873</v>
      </c>
    </row>
    <row r="63" spans="1:14">
      <c r="A63" t="s">
        <v>49</v>
      </c>
      <c r="B63">
        <f t="shared" ref="B63" si="7">2*N63</f>
        <v>0.21537507075027304</v>
      </c>
      <c r="C63" t="s">
        <v>37</v>
      </c>
      <c r="D63" t="s">
        <v>41</v>
      </c>
      <c r="E63" t="s">
        <v>42</v>
      </c>
      <c r="F63" t="s">
        <v>29</v>
      </c>
      <c r="G63" t="s">
        <v>43</v>
      </c>
      <c r="H63">
        <v>2</v>
      </c>
      <c r="I63">
        <f t="shared" si="6"/>
        <v>-1.5353742556360217</v>
      </c>
      <c r="J63">
        <v>5.0990195135927806E-2</v>
      </c>
      <c r="K63" t="s">
        <v>31</v>
      </c>
      <c r="L63" t="s">
        <v>31</v>
      </c>
      <c r="M63" t="s">
        <v>31</v>
      </c>
      <c r="N63" s="22">
        <f>SUM('[1]Use (HEFA)'!H176:L176,'[1]Use (HEFA)'!Q176)</f>
        <v>0.10768753537513652</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423.9</v>
      </c>
      <c r="C77" t="s">
        <v>37</v>
      </c>
      <c r="D77" t="s">
        <v>2</v>
      </c>
      <c r="E77" t="s">
        <v>29</v>
      </c>
      <c r="F77" t="s">
        <v>57</v>
      </c>
      <c r="G77" t="s">
        <v>33</v>
      </c>
      <c r="H77">
        <v>2</v>
      </c>
      <c r="I77">
        <f>LN(B77)</f>
        <v>6.0494975783585918</v>
      </c>
      <c r="J77">
        <v>5.0990195135927806E-2</v>
      </c>
      <c r="K77" t="s">
        <v>31</v>
      </c>
      <c r="L77" t="s">
        <v>31</v>
      </c>
      <c r="M77" t="s">
        <v>31</v>
      </c>
    </row>
    <row r="78" spans="1:14">
      <c r="A78" t="s">
        <v>40</v>
      </c>
      <c r="B78">
        <f>2*N78</f>
        <v>4.5881531134420293</v>
      </c>
      <c r="C78" t="s">
        <v>37</v>
      </c>
      <c r="D78" t="s">
        <v>41</v>
      </c>
      <c r="E78" t="s">
        <v>42</v>
      </c>
      <c r="F78" t="s">
        <v>29</v>
      </c>
      <c r="G78" t="s">
        <v>43</v>
      </c>
      <c r="H78">
        <v>2</v>
      </c>
      <c r="I78">
        <f>LN(B78)</f>
        <v>1.5234775713000777</v>
      </c>
      <c r="J78">
        <v>5.0990195135927806E-2</v>
      </c>
      <c r="K78" t="s">
        <v>31</v>
      </c>
      <c r="L78" t="s">
        <v>31</v>
      </c>
      <c r="M78" t="s">
        <v>31</v>
      </c>
      <c r="N78" s="22">
        <f>SUM('[1]Use (HEFA)'!H357:L357,'[1]Use (HEFA)'!Q357)</f>
        <v>2.2940765567210146</v>
      </c>
    </row>
    <row r="79" spans="1:14">
      <c r="A79" t="s">
        <v>44</v>
      </c>
      <c r="B79">
        <f t="shared" ref="B79:B81" si="8">2*N79</f>
        <v>2.6392541859845826</v>
      </c>
      <c r="C79" t="s">
        <v>37</v>
      </c>
      <c r="D79" t="s">
        <v>41</v>
      </c>
      <c r="E79" t="s">
        <v>42</v>
      </c>
      <c r="F79" t="s">
        <v>29</v>
      </c>
      <c r="G79" t="s">
        <v>43</v>
      </c>
      <c r="H79">
        <v>2</v>
      </c>
      <c r="I79">
        <f t="shared" ref="I79:I83" si="9">LN(B79)</f>
        <v>0.97049637193721272</v>
      </c>
      <c r="J79">
        <v>5.0990195135927806E-2</v>
      </c>
      <c r="K79" t="s">
        <v>31</v>
      </c>
      <c r="L79" t="s">
        <v>31</v>
      </c>
      <c r="M79" t="s">
        <v>31</v>
      </c>
      <c r="N79" s="22">
        <f>SUM('[1]Use (HEFA)'!H358:L358,'[1]Use (HEFA)'!Q358)</f>
        <v>1.3196270929922913</v>
      </c>
    </row>
    <row r="80" spans="1:14">
      <c r="A80" t="s">
        <v>45</v>
      </c>
      <c r="B80">
        <f t="shared" si="8"/>
        <v>0.27114304105983433</v>
      </c>
      <c r="C80" t="s">
        <v>37</v>
      </c>
      <c r="D80" t="s">
        <v>41</v>
      </c>
      <c r="E80" t="s">
        <v>42</v>
      </c>
      <c r="F80" t="s">
        <v>29</v>
      </c>
      <c r="G80" t="s">
        <v>43</v>
      </c>
      <c r="H80">
        <v>2</v>
      </c>
      <c r="I80">
        <f t="shared" si="9"/>
        <v>-1.3051087705649409</v>
      </c>
      <c r="J80">
        <v>5.0990195135927806E-2</v>
      </c>
      <c r="K80" t="s">
        <v>31</v>
      </c>
      <c r="L80" t="s">
        <v>31</v>
      </c>
      <c r="M80" t="s">
        <v>31</v>
      </c>
      <c r="N80" s="22">
        <f>SUM('[1]Use (HEFA)'!H359:L359,'[1]Use (HEFA)'!Q359)</f>
        <v>0.13557152052991717</v>
      </c>
    </row>
    <row r="81" spans="1:14">
      <c r="A81" t="s">
        <v>46</v>
      </c>
      <c r="B81">
        <f t="shared" si="8"/>
        <v>1314.0871691441257</v>
      </c>
      <c r="C81" t="s">
        <v>37</v>
      </c>
      <c r="D81" t="s">
        <v>41</v>
      </c>
      <c r="E81" t="s">
        <v>42</v>
      </c>
      <c r="F81" t="s">
        <v>29</v>
      </c>
      <c r="G81" t="s">
        <v>43</v>
      </c>
      <c r="H81">
        <v>2</v>
      </c>
      <c r="I81">
        <f t="shared" si="9"/>
        <v>7.1808975356145002</v>
      </c>
      <c r="J81">
        <v>5.0990195135927806E-2</v>
      </c>
      <c r="K81" t="s">
        <v>31</v>
      </c>
      <c r="L81" t="s">
        <v>31</v>
      </c>
      <c r="M81" t="s">
        <v>31</v>
      </c>
      <c r="N81" s="22">
        <f>SUM('[1]Use (HEFA)'!H360:L360,'[1]Use (HEFA)'!Q360)</f>
        <v>657.04358457206285</v>
      </c>
    </row>
    <row r="82" spans="1:14">
      <c r="A82" t="s">
        <v>47</v>
      </c>
      <c r="B82">
        <f>2*N82/1000</f>
        <v>0.57353517585068614</v>
      </c>
      <c r="C82" t="s">
        <v>48</v>
      </c>
      <c r="D82" t="s">
        <v>41</v>
      </c>
      <c r="E82" t="s">
        <v>42</v>
      </c>
      <c r="F82" t="s">
        <v>29</v>
      </c>
      <c r="G82" t="s">
        <v>43</v>
      </c>
      <c r="H82">
        <v>2</v>
      </c>
      <c r="I82">
        <f t="shared" si="9"/>
        <v>-0.55593600889576689</v>
      </c>
      <c r="J82">
        <v>5.0990195135927806E-2</v>
      </c>
      <c r="K82" t="s">
        <v>31</v>
      </c>
      <c r="L82" t="s">
        <v>31</v>
      </c>
      <c r="M82" t="s">
        <v>31</v>
      </c>
      <c r="N82" s="22">
        <f>SUM('[1]Use (HEFA)'!H361:L361,'[1]Use (HEFA)'!Q361)</f>
        <v>286.76758792534309</v>
      </c>
    </row>
    <row r="83" spans="1:14">
      <c r="A83" t="s">
        <v>49</v>
      </c>
      <c r="B83">
        <f t="shared" ref="B83" si="10">2*N83</f>
        <v>9.2579513973237187E-2</v>
      </c>
      <c r="C83" t="s">
        <v>37</v>
      </c>
      <c r="D83" t="s">
        <v>41</v>
      </c>
      <c r="E83" t="s">
        <v>42</v>
      </c>
      <c r="F83" t="s">
        <v>29</v>
      </c>
      <c r="G83" t="s">
        <v>43</v>
      </c>
      <c r="H83">
        <v>2</v>
      </c>
      <c r="I83">
        <f t="shared" si="9"/>
        <v>-2.3796873931958045</v>
      </c>
      <c r="J83">
        <v>5.0990195135927806E-2</v>
      </c>
      <c r="K83" t="s">
        <v>31</v>
      </c>
      <c r="L83" t="s">
        <v>31</v>
      </c>
      <c r="M83" t="s">
        <v>31</v>
      </c>
      <c r="N83" s="22">
        <f>SUM('[1]Use (HEFA)'!H362:L362,'[1]Use (HEFA)'!Q362)</f>
        <v>4.6289756986618594E-2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201</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414</v>
      </c>
      <c r="C4" s="4"/>
      <c r="D4" s="13"/>
      <c r="E4" s="13"/>
      <c r="F4" s="13"/>
      <c r="G4" s="13"/>
      <c r="H4" s="13"/>
      <c r="I4" s="13"/>
      <c r="J4" s="13"/>
      <c r="K4" s="13"/>
      <c r="L4" s="13"/>
      <c r="M4" s="13"/>
    </row>
    <row r="5" spans="1:13" ht="30">
      <c r="A5" s="12" t="s">
        <v>11</v>
      </c>
      <c r="B5" s="14" t="s">
        <v>415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201</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416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417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418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419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420</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416</v>
      </c>
      <c r="C18" s="3"/>
      <c r="D18" s="11"/>
      <c r="E18" s="11"/>
      <c r="F18" s="11"/>
      <c r="G18" s="11"/>
      <c r="H18" s="11"/>
      <c r="I18" s="11"/>
      <c r="J18" s="11"/>
      <c r="K18" s="11"/>
      <c r="L18" s="11"/>
      <c r="M18" s="11"/>
    </row>
    <row r="19" spans="1:13">
      <c r="A19" s="12" t="s">
        <v>7</v>
      </c>
      <c r="B19" s="13" t="s">
        <v>421</v>
      </c>
      <c r="C19" s="4"/>
      <c r="D19" s="13"/>
      <c r="E19" s="13"/>
      <c r="F19" s="13"/>
      <c r="G19" s="13"/>
      <c r="H19" s="13"/>
      <c r="I19" s="13"/>
      <c r="J19" s="13"/>
      <c r="K19" s="13"/>
      <c r="L19" s="13"/>
      <c r="M19" s="13"/>
    </row>
    <row r="20" spans="1:13">
      <c r="A20" s="12" t="s">
        <v>9</v>
      </c>
      <c r="B20" s="13" t="s">
        <v>422</v>
      </c>
      <c r="C20" s="4"/>
      <c r="D20" s="13"/>
      <c r="E20" s="13"/>
      <c r="F20" s="13"/>
      <c r="G20" s="13"/>
      <c r="H20" s="13"/>
      <c r="I20" s="13"/>
      <c r="J20" s="13"/>
      <c r="K20" s="13"/>
      <c r="L20" s="13"/>
      <c r="M20" s="13"/>
    </row>
    <row r="21" spans="1:13" ht="30">
      <c r="A21" s="12" t="s">
        <v>11</v>
      </c>
      <c r="B21" s="14" t="s">
        <v>423</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416</v>
      </c>
      <c r="B28" s="13">
        <v>1</v>
      </c>
      <c r="C28" s="13" t="s">
        <v>18</v>
      </c>
      <c r="D28" s="13" t="s">
        <v>2</v>
      </c>
      <c r="E28" s="13" t="s">
        <v>29</v>
      </c>
      <c r="F28" s="13" t="s">
        <v>14</v>
      </c>
      <c r="G28" s="13" t="s">
        <v>30</v>
      </c>
      <c r="H28" s="13">
        <v>1</v>
      </c>
      <c r="I28" s="13">
        <v>1</v>
      </c>
      <c r="J28" s="13" t="s">
        <v>31</v>
      </c>
      <c r="K28" s="13" t="s">
        <v>31</v>
      </c>
      <c r="L28" s="13" t="s">
        <v>31</v>
      </c>
      <c r="M28" s="13" t="s">
        <v>31</v>
      </c>
    </row>
    <row r="29" spans="1:13">
      <c r="A29" s="12" t="s">
        <v>163</v>
      </c>
      <c r="B29" s="13">
        <v>272.04399999999998</v>
      </c>
      <c r="C29" s="13" t="s">
        <v>37</v>
      </c>
      <c r="D29" s="13" t="s">
        <v>38</v>
      </c>
      <c r="E29" s="13" t="s">
        <v>29</v>
      </c>
      <c r="F29" s="13" t="s">
        <v>57</v>
      </c>
      <c r="G29" s="13" t="s">
        <v>33</v>
      </c>
      <c r="H29" s="13">
        <v>2</v>
      </c>
      <c r="I29" s="13">
        <f>LN(B29)</f>
        <v>5.6059638179193803</v>
      </c>
      <c r="J29" s="13">
        <v>0.24083189157584584</v>
      </c>
      <c r="K29" s="13" t="s">
        <v>31</v>
      </c>
      <c r="L29" s="13" t="s">
        <v>31</v>
      </c>
      <c r="M29" s="13" t="s">
        <v>31</v>
      </c>
    </row>
    <row r="30" spans="1:13">
      <c r="A30" s="12" t="s">
        <v>252</v>
      </c>
      <c r="B30" s="13">
        <v>70.967999999999989</v>
      </c>
      <c r="C30" s="13" t="s">
        <v>37</v>
      </c>
      <c r="D30" s="13" t="s">
        <v>38</v>
      </c>
      <c r="E30" s="13" t="s">
        <v>29</v>
      </c>
      <c r="F30" s="13" t="s">
        <v>57</v>
      </c>
      <c r="G30" s="13" t="s">
        <v>33</v>
      </c>
      <c r="H30" s="13">
        <v>2</v>
      </c>
      <c r="I30" s="13">
        <f t="shared" ref="I30:I32" si="0">LN(B30)</f>
        <v>4.262229071218286</v>
      </c>
      <c r="J30" s="13">
        <v>0.24083189157584584</v>
      </c>
      <c r="K30" s="13" t="s">
        <v>31</v>
      </c>
      <c r="L30" s="13" t="s">
        <v>31</v>
      </c>
      <c r="M30" s="13" t="s">
        <v>31</v>
      </c>
    </row>
    <row r="31" spans="1:13">
      <c r="A31" s="12" t="s">
        <v>424</v>
      </c>
      <c r="B31" s="13">
        <v>112.366</v>
      </c>
      <c r="C31" s="13" t="s">
        <v>37</v>
      </c>
      <c r="D31" s="13" t="s">
        <v>38</v>
      </c>
      <c r="E31" s="13" t="s">
        <v>29</v>
      </c>
      <c r="F31" s="13" t="s">
        <v>57</v>
      </c>
      <c r="G31" s="13" t="s">
        <v>33</v>
      </c>
      <c r="H31" s="13">
        <v>2</v>
      </c>
      <c r="I31" s="13">
        <f t="shared" si="0"/>
        <v>4.7217614005967263</v>
      </c>
      <c r="J31" s="13">
        <v>0.24083189157584584</v>
      </c>
      <c r="K31" s="13" t="s">
        <v>31</v>
      </c>
      <c r="L31" s="13" t="s">
        <v>31</v>
      </c>
      <c r="M31" s="13" t="s">
        <v>31</v>
      </c>
    </row>
    <row r="32" spans="1:13">
      <c r="A32" s="12" t="s">
        <v>425</v>
      </c>
      <c r="B32" s="13">
        <v>136.02199999999999</v>
      </c>
      <c r="C32" s="13" t="s">
        <v>37</v>
      </c>
      <c r="D32" s="13" t="s">
        <v>38</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417</v>
      </c>
      <c r="C33" s="3"/>
      <c r="D33" s="11"/>
      <c r="E33" s="11"/>
      <c r="F33" s="11"/>
      <c r="G33" s="11"/>
      <c r="H33" s="11"/>
      <c r="I33" s="11"/>
      <c r="J33" s="11"/>
      <c r="K33" s="11"/>
      <c r="L33" s="11"/>
      <c r="M33" s="11"/>
    </row>
    <row r="34" spans="1:13">
      <c r="A34" s="12" t="s">
        <v>7</v>
      </c>
      <c r="B34" s="13" t="s">
        <v>421</v>
      </c>
      <c r="C34" s="4"/>
      <c r="D34" s="13"/>
      <c r="E34" s="13"/>
      <c r="F34" s="13"/>
      <c r="G34" s="13"/>
      <c r="H34" s="13"/>
      <c r="I34" s="13"/>
      <c r="J34" s="13"/>
      <c r="K34" s="13"/>
      <c r="L34" s="13"/>
      <c r="M34" s="13"/>
    </row>
    <row r="35" spans="1:13">
      <c r="A35" s="12" t="s">
        <v>9</v>
      </c>
      <c r="B35" s="13" t="s">
        <v>426</v>
      </c>
      <c r="C35" s="4"/>
      <c r="D35" s="13"/>
      <c r="E35" s="13"/>
      <c r="F35" s="13"/>
      <c r="G35" s="13"/>
      <c r="H35" s="13"/>
      <c r="I35" s="13"/>
      <c r="J35" s="13"/>
      <c r="K35" s="13"/>
      <c r="L35" s="13"/>
      <c r="M35" s="13"/>
    </row>
    <row r="36" spans="1:13" ht="30">
      <c r="A36" s="12" t="s">
        <v>11</v>
      </c>
      <c r="B36" s="14" t="s">
        <v>427</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417</v>
      </c>
      <c r="B43" s="13">
        <v>1</v>
      </c>
      <c r="C43" s="13" t="s">
        <v>18</v>
      </c>
      <c r="D43" s="13" t="s">
        <v>2</v>
      </c>
      <c r="E43" s="13" t="s">
        <v>29</v>
      </c>
      <c r="F43" s="13" t="s">
        <v>14</v>
      </c>
      <c r="G43" s="13" t="s">
        <v>30</v>
      </c>
      <c r="H43" s="13">
        <v>1</v>
      </c>
      <c r="I43" s="13">
        <v>1</v>
      </c>
      <c r="J43" s="13" t="s">
        <v>31</v>
      </c>
      <c r="K43" s="13" t="s">
        <v>31</v>
      </c>
      <c r="L43" s="13" t="s">
        <v>31</v>
      </c>
      <c r="M43" s="13" t="s">
        <v>31</v>
      </c>
    </row>
    <row r="44" spans="1:13">
      <c r="A44" s="12" t="s">
        <v>428</v>
      </c>
      <c r="B44" s="13">
        <v>741.6</v>
      </c>
      <c r="C44" s="13" t="s">
        <v>37</v>
      </c>
      <c r="D44" s="13" t="s">
        <v>38</v>
      </c>
      <c r="E44" s="13" t="s">
        <v>29</v>
      </c>
      <c r="F44" s="13" t="s">
        <v>57</v>
      </c>
      <c r="G44" s="13" t="s">
        <v>33</v>
      </c>
      <c r="H44" s="13">
        <v>2</v>
      </c>
      <c r="I44" s="13">
        <f>LN(B44)</f>
        <v>6.6088100142516453</v>
      </c>
      <c r="J44" s="13">
        <v>0.24083189157584584</v>
      </c>
      <c r="K44" s="13" t="s">
        <v>31</v>
      </c>
      <c r="L44" s="13" t="s">
        <v>31</v>
      </c>
      <c r="M44" s="13" t="s">
        <v>31</v>
      </c>
    </row>
    <row r="45" spans="1:13">
      <c r="A45" s="18" t="s">
        <v>5</v>
      </c>
      <c r="B45" s="19" t="s">
        <v>418</v>
      </c>
      <c r="C45" s="3"/>
      <c r="D45" s="11"/>
      <c r="E45" s="11"/>
      <c r="F45" s="11"/>
      <c r="G45" s="11"/>
      <c r="H45" s="11"/>
      <c r="I45" s="11"/>
      <c r="J45" s="11"/>
      <c r="K45" s="11"/>
      <c r="L45" s="11"/>
      <c r="M45" s="11"/>
    </row>
    <row r="46" spans="1:13">
      <c r="A46" s="12" t="s">
        <v>7</v>
      </c>
      <c r="B46" s="13" t="s">
        <v>421</v>
      </c>
      <c r="C46" s="4"/>
      <c r="D46" s="13"/>
      <c r="E46" s="13"/>
      <c r="F46" s="13"/>
      <c r="G46" s="13"/>
      <c r="H46" s="13"/>
      <c r="I46" s="13"/>
      <c r="J46" s="13"/>
      <c r="K46" s="13"/>
      <c r="L46" s="13"/>
      <c r="M46" s="13"/>
    </row>
    <row r="47" spans="1:13">
      <c r="A47" s="12" t="s">
        <v>9</v>
      </c>
      <c r="B47" s="13" t="s">
        <v>429</v>
      </c>
      <c r="C47" s="4"/>
      <c r="D47" s="13"/>
      <c r="E47" s="13"/>
      <c r="F47" s="13"/>
      <c r="G47" s="13"/>
      <c r="H47" s="13"/>
      <c r="I47" s="13"/>
      <c r="J47" s="13"/>
      <c r="K47" s="13"/>
      <c r="L47" s="13"/>
      <c r="M47" s="13"/>
    </row>
    <row r="48" spans="1:13" ht="30">
      <c r="A48" s="12" t="s">
        <v>11</v>
      </c>
      <c r="B48" s="14" t="s">
        <v>430</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418</v>
      </c>
      <c r="B55" s="13">
        <v>1</v>
      </c>
      <c r="C55" s="13" t="s">
        <v>18</v>
      </c>
      <c r="D55" s="13" t="s">
        <v>2</v>
      </c>
      <c r="E55" s="13" t="s">
        <v>29</v>
      </c>
      <c r="F55" s="13" t="s">
        <v>14</v>
      </c>
      <c r="G55" s="13" t="s">
        <v>30</v>
      </c>
      <c r="H55" s="13">
        <v>1</v>
      </c>
      <c r="I55" s="13">
        <v>1</v>
      </c>
      <c r="J55" s="13" t="s">
        <v>31</v>
      </c>
      <c r="K55" s="13" t="s">
        <v>31</v>
      </c>
      <c r="L55" s="13" t="s">
        <v>31</v>
      </c>
      <c r="M55" s="13" t="s">
        <v>31</v>
      </c>
    </row>
    <row r="56" spans="1:13">
      <c r="A56" s="12" t="s">
        <v>431</v>
      </c>
      <c r="B56" s="13">
        <v>1</v>
      </c>
      <c r="C56" s="13" t="s">
        <v>18</v>
      </c>
      <c r="D56" s="13" t="s">
        <v>2</v>
      </c>
      <c r="E56" s="13" t="s">
        <v>29</v>
      </c>
      <c r="F56" s="13" t="s">
        <v>14</v>
      </c>
      <c r="G56" s="13" t="s">
        <v>33</v>
      </c>
      <c r="H56" s="13">
        <v>1</v>
      </c>
      <c r="I56" s="13">
        <v>1</v>
      </c>
      <c r="J56" s="13" t="s">
        <v>31</v>
      </c>
      <c r="K56" s="13" t="s">
        <v>31</v>
      </c>
      <c r="L56" s="13" t="s">
        <v>31</v>
      </c>
      <c r="M56" s="13" t="s">
        <v>31</v>
      </c>
    </row>
    <row r="57" spans="1:13">
      <c r="A57" s="12" t="s">
        <v>432</v>
      </c>
      <c r="B57" s="13">
        <v>1</v>
      </c>
      <c r="C57" s="13" t="s">
        <v>18</v>
      </c>
      <c r="D57" s="13" t="s">
        <v>2</v>
      </c>
      <c r="E57" s="13" t="s">
        <v>29</v>
      </c>
      <c r="F57" s="13" t="s">
        <v>14</v>
      </c>
      <c r="G57" s="13" t="s">
        <v>33</v>
      </c>
      <c r="H57" s="13">
        <v>1</v>
      </c>
      <c r="I57" s="13">
        <v>1</v>
      </c>
      <c r="J57" s="13" t="s">
        <v>31</v>
      </c>
      <c r="K57" s="13" t="s">
        <v>31</v>
      </c>
      <c r="L57" s="13" t="s">
        <v>31</v>
      </c>
      <c r="M57" s="13" t="s">
        <v>31</v>
      </c>
    </row>
    <row r="58" spans="1:13">
      <c r="A58" s="12" t="s">
        <v>433</v>
      </c>
      <c r="B58" s="13">
        <v>1</v>
      </c>
      <c r="C58" s="13" t="s">
        <v>18</v>
      </c>
      <c r="D58" s="13" t="s">
        <v>2</v>
      </c>
      <c r="E58" s="13" t="s">
        <v>29</v>
      </c>
      <c r="F58" s="13" t="s">
        <v>14</v>
      </c>
      <c r="G58" s="13" t="s">
        <v>33</v>
      </c>
      <c r="H58" s="13">
        <v>1</v>
      </c>
      <c r="I58" s="13">
        <v>1</v>
      </c>
      <c r="J58" s="13" t="s">
        <v>31</v>
      </c>
      <c r="K58" s="13" t="s">
        <v>31</v>
      </c>
      <c r="L58" s="13" t="s">
        <v>31</v>
      </c>
      <c r="M58" s="13" t="s">
        <v>31</v>
      </c>
    </row>
    <row r="59" spans="1:13">
      <c r="A59" s="12" t="s">
        <v>434</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431</v>
      </c>
      <c r="C60" s="3"/>
      <c r="D60" s="11"/>
      <c r="E60" s="11"/>
      <c r="F60" s="11"/>
      <c r="G60" s="11"/>
      <c r="H60" s="11"/>
      <c r="I60" s="11"/>
      <c r="J60" s="11"/>
      <c r="K60" s="11"/>
      <c r="L60" s="11"/>
      <c r="M60" s="11"/>
    </row>
    <row r="61" spans="1:13">
      <c r="A61" s="12" t="s">
        <v>7</v>
      </c>
      <c r="B61" s="13" t="s">
        <v>435</v>
      </c>
      <c r="C61" s="4"/>
      <c r="D61" s="13"/>
      <c r="E61" s="13"/>
      <c r="F61" s="13"/>
      <c r="G61" s="13"/>
      <c r="H61" s="13"/>
      <c r="I61" s="13"/>
      <c r="J61" s="13"/>
      <c r="K61" s="13"/>
      <c r="L61" s="13"/>
      <c r="M61" s="13"/>
    </row>
    <row r="62" spans="1:13">
      <c r="A62" s="12" t="s">
        <v>9</v>
      </c>
      <c r="B62" s="13" t="s">
        <v>436</v>
      </c>
      <c r="C62" s="4"/>
      <c r="D62" s="13"/>
      <c r="E62" s="13"/>
      <c r="F62" s="13"/>
      <c r="G62" s="13"/>
      <c r="H62" s="13"/>
      <c r="I62" s="13"/>
      <c r="J62" s="13"/>
      <c r="K62" s="13"/>
      <c r="L62" s="13"/>
      <c r="M62" s="13"/>
    </row>
    <row r="63" spans="1:13" ht="30">
      <c r="A63" s="12" t="s">
        <v>11</v>
      </c>
      <c r="B63" s="14" t="s">
        <v>437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431</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299</v>
      </c>
      <c r="B71" s="13">
        <f>140.458*15</f>
        <v>2106.87</v>
      </c>
      <c r="C71" s="13" t="s">
        <v>37</v>
      </c>
      <c r="D71" s="13" t="s">
        <v>38</v>
      </c>
      <c r="E71" s="13" t="s">
        <v>29</v>
      </c>
      <c r="F71" s="13" t="s">
        <v>57</v>
      </c>
      <c r="G71" s="13" t="s">
        <v>33</v>
      </c>
      <c r="H71" s="13">
        <v>2</v>
      </c>
      <c r="I71" s="13">
        <f>LN(B71)</f>
        <v>7.6529587128024774</v>
      </c>
      <c r="J71" s="13">
        <v>0.30331501776206199</v>
      </c>
      <c r="K71" s="13" t="s">
        <v>31</v>
      </c>
      <c r="L71" s="13" t="s">
        <v>31</v>
      </c>
      <c r="M71" s="13" t="s">
        <v>31</v>
      </c>
    </row>
    <row r="72" spans="1:13">
      <c r="A72" s="12" t="s">
        <v>302</v>
      </c>
      <c r="B72" s="13">
        <f>140.458*14</f>
        <v>1966.412</v>
      </c>
      <c r="C72" s="13" t="s">
        <v>37</v>
      </c>
      <c r="D72" s="13" t="s">
        <v>38</v>
      </c>
      <c r="E72" s="13" t="s">
        <v>29</v>
      </c>
      <c r="F72" s="13" t="s">
        <v>130</v>
      </c>
      <c r="G72" s="13" t="s">
        <v>33</v>
      </c>
      <c r="H72" s="13">
        <v>2</v>
      </c>
      <c r="I72" s="13">
        <f>LN(B72)</f>
        <v>7.5839658413155258</v>
      </c>
      <c r="J72" s="13">
        <v>0.30331501776206199</v>
      </c>
      <c r="K72" s="13" t="s">
        <v>31</v>
      </c>
      <c r="L72" s="13" t="s">
        <v>31</v>
      </c>
      <c r="M72" s="13" t="s">
        <v>31</v>
      </c>
    </row>
    <row r="73" spans="1:13">
      <c r="A73" s="12" t="s">
        <v>299</v>
      </c>
      <c r="B73" s="13">
        <f>140.458*14</f>
        <v>1966.412</v>
      </c>
      <c r="C73" s="13" t="s">
        <v>37</v>
      </c>
      <c r="D73" s="13" t="s">
        <v>38</v>
      </c>
      <c r="E73" s="13" t="s">
        <v>29</v>
      </c>
      <c r="F73" s="13" t="s">
        <v>57</v>
      </c>
      <c r="G73" s="13" t="s">
        <v>269</v>
      </c>
      <c r="H73" s="13">
        <v>2</v>
      </c>
      <c r="I73" s="13">
        <f>LN(B73)</f>
        <v>7.5839658413155258</v>
      </c>
      <c r="J73" s="13">
        <v>0.30331501776206199</v>
      </c>
      <c r="K73" s="13" t="s">
        <v>31</v>
      </c>
      <c r="L73" s="13" t="s">
        <v>31</v>
      </c>
      <c r="M73" s="13" t="s">
        <v>31</v>
      </c>
    </row>
    <row r="74" spans="1:13">
      <c r="A74" s="18" t="s">
        <v>5</v>
      </c>
      <c r="B74" s="19" t="s">
        <v>432</v>
      </c>
      <c r="C74" s="3"/>
      <c r="D74" s="11"/>
      <c r="E74" s="11"/>
      <c r="F74" s="11"/>
      <c r="G74" s="11"/>
      <c r="H74" s="11"/>
      <c r="I74" s="11"/>
      <c r="J74" s="11"/>
      <c r="K74" s="11"/>
      <c r="L74" s="11"/>
      <c r="M74" s="11"/>
    </row>
    <row r="75" spans="1:13">
      <c r="A75" s="12" t="s">
        <v>7</v>
      </c>
      <c r="B75" s="13" t="s">
        <v>435</v>
      </c>
      <c r="C75" s="4"/>
      <c r="D75" s="13"/>
      <c r="E75" s="13"/>
      <c r="F75" s="13"/>
      <c r="G75" s="13"/>
      <c r="H75" s="13"/>
      <c r="I75" s="13"/>
      <c r="J75" s="13"/>
      <c r="K75" s="13"/>
      <c r="L75" s="13"/>
      <c r="M75" s="13"/>
    </row>
    <row r="76" spans="1:13">
      <c r="A76" s="12" t="s">
        <v>9</v>
      </c>
      <c r="B76" s="13" t="s">
        <v>438</v>
      </c>
      <c r="C76" s="4"/>
      <c r="D76" s="13"/>
      <c r="E76" s="13"/>
      <c r="F76" s="13"/>
      <c r="G76" s="13"/>
      <c r="H76" s="13"/>
      <c r="I76" s="13"/>
      <c r="J76" s="13"/>
      <c r="K76" s="13"/>
      <c r="L76" s="13"/>
      <c r="M76" s="13"/>
    </row>
    <row r="77" spans="1:13" ht="30">
      <c r="A77" s="12" t="s">
        <v>11</v>
      </c>
      <c r="B77" s="14" t="s">
        <v>439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432</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299</v>
      </c>
      <c r="B85" s="13">
        <f>28.854*15</f>
        <v>432.81</v>
      </c>
      <c r="C85" s="13" t="s">
        <v>37</v>
      </c>
      <c r="D85" s="13" t="s">
        <v>38</v>
      </c>
      <c r="E85" s="13" t="s">
        <v>29</v>
      </c>
      <c r="F85" s="13" t="s">
        <v>57</v>
      </c>
      <c r="G85" s="13" t="s">
        <v>33</v>
      </c>
      <c r="H85" s="13">
        <v>2</v>
      </c>
      <c r="I85" s="13">
        <f>LN(B85)</f>
        <v>6.0702988326257907</v>
      </c>
      <c r="J85" s="13">
        <v>0.30331501776206199</v>
      </c>
      <c r="K85" s="13" t="s">
        <v>31</v>
      </c>
      <c r="L85" s="13" t="s">
        <v>31</v>
      </c>
      <c r="M85" s="13" t="s">
        <v>31</v>
      </c>
    </row>
    <row r="86" spans="1:13">
      <c r="A86" s="12" t="s">
        <v>302</v>
      </c>
      <c r="B86" s="13">
        <f>28.854*14</f>
        <v>403.95600000000002</v>
      </c>
      <c r="C86" s="13" t="s">
        <v>37</v>
      </c>
      <c r="D86" s="13" t="s">
        <v>38</v>
      </c>
      <c r="E86" s="13" t="s">
        <v>29</v>
      </c>
      <c r="F86" s="13" t="s">
        <v>130</v>
      </c>
      <c r="G86" s="13" t="s">
        <v>33</v>
      </c>
      <c r="H86" s="13">
        <v>2</v>
      </c>
      <c r="I86" s="13">
        <f>LN(B86)</f>
        <v>6.0013059611388391</v>
      </c>
      <c r="J86" s="13">
        <v>0.30331501776206199</v>
      </c>
      <c r="K86" s="13" t="s">
        <v>31</v>
      </c>
      <c r="L86" s="13" t="s">
        <v>31</v>
      </c>
      <c r="M86" s="13" t="s">
        <v>31</v>
      </c>
    </row>
    <row r="87" spans="1:13">
      <c r="A87" s="12" t="s">
        <v>299</v>
      </c>
      <c r="B87" s="13">
        <f>28.854*14</f>
        <v>403.95600000000002</v>
      </c>
      <c r="C87" s="13" t="s">
        <v>37</v>
      </c>
      <c r="D87" s="13" t="s">
        <v>38</v>
      </c>
      <c r="E87" s="13" t="s">
        <v>29</v>
      </c>
      <c r="F87" s="13" t="s">
        <v>57</v>
      </c>
      <c r="G87" s="13" t="s">
        <v>269</v>
      </c>
      <c r="H87" s="13">
        <v>2</v>
      </c>
      <c r="I87" s="13">
        <f>LN(B87)</f>
        <v>6.0013059611388391</v>
      </c>
      <c r="J87" s="13">
        <v>0.30331501776206199</v>
      </c>
      <c r="K87" s="13" t="s">
        <v>31</v>
      </c>
      <c r="L87" s="13" t="s">
        <v>31</v>
      </c>
      <c r="M87" s="13" t="s">
        <v>31</v>
      </c>
    </row>
    <row r="88" spans="1:13">
      <c r="A88" s="12" t="s">
        <v>331</v>
      </c>
      <c r="B88" s="13">
        <v>7.2140000000000004</v>
      </c>
      <c r="C88" s="13" t="s">
        <v>37</v>
      </c>
      <c r="D88" s="13" t="s">
        <v>38</v>
      </c>
      <c r="E88" s="13" t="s">
        <v>29</v>
      </c>
      <c r="F88" s="13" t="s">
        <v>130</v>
      </c>
      <c r="G88" s="13" t="s">
        <v>33</v>
      </c>
      <c r="H88" s="13">
        <v>2</v>
      </c>
      <c r="I88" s="13">
        <f>LN(B88)</f>
        <v>1.9760235824813472</v>
      </c>
      <c r="J88" s="13">
        <v>0.30331501776206199</v>
      </c>
      <c r="K88" s="13" t="s">
        <v>31</v>
      </c>
      <c r="L88" s="13" t="s">
        <v>31</v>
      </c>
      <c r="M88" s="13" t="s">
        <v>31</v>
      </c>
    </row>
    <row r="89" spans="1:13">
      <c r="A89" s="18" t="s">
        <v>5</v>
      </c>
      <c r="B89" s="19" t="s">
        <v>433</v>
      </c>
      <c r="C89" s="3"/>
      <c r="D89" s="11"/>
      <c r="E89" s="11"/>
      <c r="F89" s="11"/>
      <c r="G89" s="11"/>
      <c r="H89" s="11"/>
      <c r="I89" s="11"/>
      <c r="J89" s="11"/>
      <c r="K89" s="11"/>
      <c r="L89" s="11"/>
      <c r="M89" s="11"/>
    </row>
    <row r="90" spans="1:13">
      <c r="A90" s="12" t="s">
        <v>7</v>
      </c>
      <c r="B90" s="13" t="s">
        <v>435</v>
      </c>
      <c r="C90" s="4"/>
      <c r="D90" s="13"/>
      <c r="E90" s="13"/>
      <c r="F90" s="13"/>
      <c r="G90" s="13"/>
      <c r="H90" s="13"/>
      <c r="I90" s="13"/>
      <c r="J90" s="13"/>
      <c r="K90" s="13"/>
      <c r="L90" s="13"/>
      <c r="M90" s="13"/>
    </row>
    <row r="91" spans="1:13">
      <c r="A91" s="12" t="s">
        <v>9</v>
      </c>
      <c r="B91" s="13" t="s">
        <v>440</v>
      </c>
      <c r="C91" s="4"/>
      <c r="D91" s="13"/>
      <c r="E91" s="13"/>
      <c r="F91" s="13"/>
      <c r="G91" s="13"/>
      <c r="H91" s="13"/>
      <c r="I91" s="13"/>
      <c r="J91" s="13"/>
      <c r="K91" s="13"/>
      <c r="L91" s="13"/>
      <c r="M91" s="13"/>
    </row>
    <row r="92" spans="1:13" ht="30">
      <c r="A92" s="12" t="s">
        <v>11</v>
      </c>
      <c r="B92" s="14" t="s">
        <v>441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433</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299</v>
      </c>
      <c r="B100" s="13">
        <f>65.265*15</f>
        <v>978.97500000000002</v>
      </c>
      <c r="C100" s="13" t="s">
        <v>37</v>
      </c>
      <c r="D100" s="13" t="s">
        <v>38</v>
      </c>
      <c r="E100" s="13" t="s">
        <v>29</v>
      </c>
      <c r="F100" s="13" t="s">
        <v>57</v>
      </c>
      <c r="G100" s="13" t="s">
        <v>33</v>
      </c>
      <c r="H100" s="13">
        <v>2</v>
      </c>
      <c r="I100" s="13">
        <f>LN(B100)</f>
        <v>6.8865061059429635</v>
      </c>
      <c r="J100" s="13">
        <v>0.30331501776206199</v>
      </c>
      <c r="K100" s="13" t="s">
        <v>31</v>
      </c>
      <c r="L100" s="13" t="s">
        <v>31</v>
      </c>
      <c r="M100" s="13" t="s">
        <v>31</v>
      </c>
    </row>
    <row r="101" spans="1:13">
      <c r="A101" s="12" t="s">
        <v>302</v>
      </c>
      <c r="B101" s="13">
        <f>65.265*14</f>
        <v>913.71</v>
      </c>
      <c r="C101" s="13" t="s">
        <v>37</v>
      </c>
      <c r="D101" s="13" t="s">
        <v>38</v>
      </c>
      <c r="E101" s="13" t="s">
        <v>29</v>
      </c>
      <c r="F101" s="13" t="s">
        <v>130</v>
      </c>
      <c r="G101" s="13" t="s">
        <v>33</v>
      </c>
      <c r="H101" s="13">
        <v>2</v>
      </c>
      <c r="I101" s="13">
        <f>LN(B101)</f>
        <v>6.8175132344560119</v>
      </c>
      <c r="J101" s="13">
        <v>0.30331501776206199</v>
      </c>
      <c r="K101" s="13" t="s">
        <v>31</v>
      </c>
      <c r="L101" s="13" t="s">
        <v>31</v>
      </c>
      <c r="M101" s="13" t="s">
        <v>31</v>
      </c>
    </row>
    <row r="102" spans="1:13">
      <c r="A102" s="12" t="s">
        <v>299</v>
      </c>
      <c r="B102" s="13">
        <f>65.265*14</f>
        <v>913.71</v>
      </c>
      <c r="C102" s="13" t="s">
        <v>37</v>
      </c>
      <c r="D102" s="13" t="s">
        <v>38</v>
      </c>
      <c r="E102" s="13" t="s">
        <v>29</v>
      </c>
      <c r="F102" s="13" t="s">
        <v>57</v>
      </c>
      <c r="G102" s="13" t="s">
        <v>269</v>
      </c>
      <c r="H102" s="13">
        <v>2</v>
      </c>
      <c r="I102" s="13">
        <f>LN(B102)</f>
        <v>6.8175132344560119</v>
      </c>
      <c r="J102" s="13">
        <v>0.30331501776206199</v>
      </c>
      <c r="K102" s="13" t="s">
        <v>31</v>
      </c>
      <c r="L102" s="13" t="s">
        <v>31</v>
      </c>
      <c r="M102" s="13" t="s">
        <v>31</v>
      </c>
    </row>
    <row r="103" spans="1:13">
      <c r="A103" s="12" t="s">
        <v>252</v>
      </c>
      <c r="B103" s="13">
        <f>32.633*15</f>
        <v>489.49500000000006</v>
      </c>
      <c r="C103" s="13" t="s">
        <v>37</v>
      </c>
      <c r="D103" s="13" t="s">
        <v>38</v>
      </c>
      <c r="E103" s="13" t="s">
        <v>29</v>
      </c>
      <c r="F103" s="13" t="s">
        <v>57</v>
      </c>
      <c r="G103" s="13" t="s">
        <v>33</v>
      </c>
      <c r="H103" s="13">
        <v>2</v>
      </c>
      <c r="I103" s="13">
        <f t="shared" ref="I103:I105" si="1">LN(B103)</f>
        <v>6.1933742474138</v>
      </c>
      <c r="J103" s="13">
        <v>0.30331501776206199</v>
      </c>
      <c r="K103" s="13" t="s">
        <v>31</v>
      </c>
      <c r="L103" s="13" t="s">
        <v>31</v>
      </c>
      <c r="M103" s="13" t="s">
        <v>31</v>
      </c>
    </row>
    <row r="104" spans="1:13">
      <c r="A104" s="12" t="s">
        <v>442</v>
      </c>
      <c r="B104" s="13">
        <f>32.633*14</f>
        <v>456.86200000000002</v>
      </c>
      <c r="C104" s="13" t="s">
        <v>37</v>
      </c>
      <c r="D104" s="13" t="s">
        <v>38</v>
      </c>
      <c r="E104" s="13" t="s">
        <v>29</v>
      </c>
      <c r="F104" s="13" t="s">
        <v>35</v>
      </c>
      <c r="G104" s="13" t="s">
        <v>33</v>
      </c>
      <c r="H104" s="13">
        <v>2</v>
      </c>
      <c r="I104" s="13">
        <f t="shared" si="1"/>
        <v>6.1243813759268484</v>
      </c>
      <c r="J104" s="13">
        <v>0.30331501776206199</v>
      </c>
      <c r="K104" s="13" t="s">
        <v>31</v>
      </c>
      <c r="L104" s="13" t="s">
        <v>31</v>
      </c>
      <c r="M104" s="13" t="s">
        <v>31</v>
      </c>
    </row>
    <row r="105" spans="1:13">
      <c r="A105" s="12" t="s">
        <v>252</v>
      </c>
      <c r="B105" s="13">
        <f>32.633*14</f>
        <v>456.86200000000002</v>
      </c>
      <c r="C105" s="13" t="s">
        <v>37</v>
      </c>
      <c r="D105" s="13" t="s">
        <v>38</v>
      </c>
      <c r="E105" s="13" t="s">
        <v>29</v>
      </c>
      <c r="F105" s="13" t="s">
        <v>57</v>
      </c>
      <c r="G105" s="13" t="s">
        <v>269</v>
      </c>
      <c r="H105" s="13">
        <v>2</v>
      </c>
      <c r="I105" s="13">
        <f t="shared" si="1"/>
        <v>6.1243813759268484</v>
      </c>
      <c r="J105" s="13">
        <v>0.30331501776206199</v>
      </c>
      <c r="K105" s="13" t="s">
        <v>31</v>
      </c>
      <c r="L105" s="13" t="s">
        <v>31</v>
      </c>
      <c r="M105" s="13" t="s">
        <v>31</v>
      </c>
    </row>
    <row r="106" spans="1:13">
      <c r="A106" s="18" t="s">
        <v>5</v>
      </c>
      <c r="B106" s="19" t="s">
        <v>434</v>
      </c>
      <c r="C106" s="3"/>
      <c r="D106" s="11"/>
      <c r="E106" s="11"/>
      <c r="F106" s="11"/>
      <c r="G106" s="11"/>
      <c r="H106" s="11"/>
      <c r="I106" s="11"/>
      <c r="J106" s="11"/>
      <c r="K106" s="11"/>
      <c r="L106" s="11"/>
      <c r="M106" s="11"/>
    </row>
    <row r="107" spans="1:13">
      <c r="A107" s="12" t="s">
        <v>7</v>
      </c>
      <c r="B107" s="13" t="s">
        <v>435</v>
      </c>
      <c r="C107" s="4"/>
      <c r="D107" s="13"/>
      <c r="E107" s="13"/>
      <c r="F107" s="13"/>
      <c r="G107" s="13"/>
      <c r="H107" s="13"/>
      <c r="I107" s="13"/>
      <c r="J107" s="13"/>
      <c r="K107" s="13"/>
      <c r="L107" s="13"/>
      <c r="M107" s="13"/>
    </row>
    <row r="108" spans="1:13">
      <c r="A108" s="12" t="s">
        <v>9</v>
      </c>
      <c r="B108" s="13" t="s">
        <v>443</v>
      </c>
      <c r="C108" s="4"/>
      <c r="D108" s="13"/>
      <c r="E108" s="13"/>
      <c r="F108" s="13"/>
      <c r="G108" s="13"/>
      <c r="H108" s="13"/>
      <c r="I108" s="13"/>
      <c r="J108" s="13"/>
      <c r="K108" s="13"/>
      <c r="L108" s="13"/>
      <c r="M108" s="13"/>
    </row>
    <row r="109" spans="1:13" ht="30">
      <c r="A109" s="12" t="s">
        <v>11</v>
      </c>
      <c r="B109" s="14" t="s">
        <v>444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434</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252</v>
      </c>
      <c r="B117" s="13">
        <f>72.135*15</f>
        <v>1082.0250000000001</v>
      </c>
      <c r="C117" s="13" t="s">
        <v>37</v>
      </c>
      <c r="D117" s="13" t="s">
        <v>38</v>
      </c>
      <c r="E117" s="13" t="s">
        <v>29</v>
      </c>
      <c r="F117" s="13" t="s">
        <v>57</v>
      </c>
      <c r="G117" s="13" t="s">
        <v>33</v>
      </c>
      <c r="H117" s="13">
        <v>2</v>
      </c>
      <c r="I117" s="13">
        <f>LN(B117)</f>
        <v>6.9865895644999458</v>
      </c>
      <c r="J117" s="13">
        <v>0.30331501776206199</v>
      </c>
      <c r="K117" s="13" t="s">
        <v>31</v>
      </c>
      <c r="L117" s="13" t="s">
        <v>31</v>
      </c>
      <c r="M117" s="13" t="s">
        <v>31</v>
      </c>
    </row>
    <row r="118" spans="1:13">
      <c r="A118" s="12" t="s">
        <v>442</v>
      </c>
      <c r="B118" s="13">
        <f>72.135*14</f>
        <v>1009.8900000000001</v>
      </c>
      <c r="C118" s="13" t="s">
        <v>37</v>
      </c>
      <c r="D118" s="13" t="s">
        <v>38</v>
      </c>
      <c r="E118" s="13" t="s">
        <v>29</v>
      </c>
      <c r="F118" s="13" t="s">
        <v>35</v>
      </c>
      <c r="G118" s="13" t="s">
        <v>33</v>
      </c>
      <c r="H118" s="13">
        <v>2</v>
      </c>
      <c r="I118" s="13">
        <f>LN(B118)</f>
        <v>6.9175966930129942</v>
      </c>
      <c r="J118" s="13">
        <v>0.30331501776206199</v>
      </c>
      <c r="K118" s="13" t="s">
        <v>31</v>
      </c>
      <c r="L118" s="13" t="s">
        <v>31</v>
      </c>
      <c r="M118" s="13" t="s">
        <v>31</v>
      </c>
    </row>
    <row r="119" spans="1:13">
      <c r="A119" s="12" t="s">
        <v>252</v>
      </c>
      <c r="B119" s="13">
        <f>72.135*14</f>
        <v>1009.8900000000001</v>
      </c>
      <c r="C119" s="13" t="s">
        <v>37</v>
      </c>
      <c r="D119" s="13" t="s">
        <v>38</v>
      </c>
      <c r="E119" s="13" t="s">
        <v>29</v>
      </c>
      <c r="F119" s="13" t="s">
        <v>57</v>
      </c>
      <c r="G119" s="13" t="s">
        <v>269</v>
      </c>
      <c r="H119" s="13">
        <v>2</v>
      </c>
      <c r="I119" s="13">
        <f>LN(B119)</f>
        <v>6.9175966930129942</v>
      </c>
      <c r="J119" s="13">
        <v>0.30331501776206199</v>
      </c>
      <c r="K119" s="13" t="s">
        <v>31</v>
      </c>
      <c r="L119" s="13" t="s">
        <v>31</v>
      </c>
      <c r="M119" s="13" t="s">
        <v>31</v>
      </c>
    </row>
    <row r="120" spans="1:13">
      <c r="A120" s="12" t="s">
        <v>299</v>
      </c>
      <c r="B120" s="13">
        <f>72.135*15</f>
        <v>1082.0250000000001</v>
      </c>
      <c r="C120" s="13" t="s">
        <v>37</v>
      </c>
      <c r="D120" s="13" t="s">
        <v>38</v>
      </c>
      <c r="E120" s="13" t="s">
        <v>29</v>
      </c>
      <c r="F120" s="13" t="s">
        <v>57</v>
      </c>
      <c r="G120" s="13" t="s">
        <v>33</v>
      </c>
      <c r="H120" s="13">
        <v>2</v>
      </c>
      <c r="I120" s="13">
        <f t="shared" ref="I120:I124" si="2">LN(B120)</f>
        <v>6.9865895644999458</v>
      </c>
      <c r="J120" s="13">
        <v>0.30331501776206199</v>
      </c>
      <c r="K120" s="13" t="s">
        <v>31</v>
      </c>
      <c r="L120" s="13" t="s">
        <v>31</v>
      </c>
      <c r="M120" s="13" t="s">
        <v>31</v>
      </c>
    </row>
    <row r="121" spans="1:13">
      <c r="A121" s="12" t="s">
        <v>302</v>
      </c>
      <c r="B121" s="13">
        <f>72.135*14</f>
        <v>1009.8900000000001</v>
      </c>
      <c r="C121" s="13" t="s">
        <v>37</v>
      </c>
      <c r="D121" s="13" t="s">
        <v>38</v>
      </c>
      <c r="E121" s="13" t="s">
        <v>29</v>
      </c>
      <c r="F121" s="13" t="s">
        <v>130</v>
      </c>
      <c r="G121" s="13" t="s">
        <v>33</v>
      </c>
      <c r="H121" s="13">
        <v>2</v>
      </c>
      <c r="I121" s="13">
        <f t="shared" si="2"/>
        <v>6.9175966930129942</v>
      </c>
      <c r="J121" s="13">
        <v>0.30331501776206199</v>
      </c>
      <c r="K121" s="13" t="s">
        <v>31</v>
      </c>
      <c r="L121" s="13" t="s">
        <v>31</v>
      </c>
      <c r="M121" s="13" t="s">
        <v>31</v>
      </c>
    </row>
    <row r="122" spans="1:13">
      <c r="A122" s="12" t="s">
        <v>299</v>
      </c>
      <c r="B122" s="13">
        <f>72.135*14</f>
        <v>1009.8900000000001</v>
      </c>
      <c r="C122" s="13" t="s">
        <v>37</v>
      </c>
      <c r="D122" s="13" t="s">
        <v>38</v>
      </c>
      <c r="E122" s="13" t="s">
        <v>29</v>
      </c>
      <c r="F122" s="13" t="s">
        <v>57</v>
      </c>
      <c r="G122" s="13" t="s">
        <v>269</v>
      </c>
      <c r="H122" s="13">
        <v>2</v>
      </c>
      <c r="I122" s="13">
        <f t="shared" si="2"/>
        <v>6.9175966930129942</v>
      </c>
      <c r="J122" s="13">
        <v>0.30331501776206199</v>
      </c>
      <c r="K122" s="13" t="s">
        <v>31</v>
      </c>
      <c r="L122" s="13" t="s">
        <v>31</v>
      </c>
      <c r="M122" s="13" t="s">
        <v>31</v>
      </c>
    </row>
    <row r="123" spans="1:13">
      <c r="A123" s="12" t="s">
        <v>352</v>
      </c>
      <c r="B123" s="13">
        <f>36.068*15</f>
        <v>541.02</v>
      </c>
      <c r="C123" s="13" t="s">
        <v>37</v>
      </c>
      <c r="D123" s="13" t="s">
        <v>38</v>
      </c>
      <c r="E123" s="13" t="s">
        <v>29</v>
      </c>
      <c r="F123" s="13" t="s">
        <v>57</v>
      </c>
      <c r="G123" s="13" t="s">
        <v>33</v>
      </c>
      <c r="H123" s="13">
        <v>2</v>
      </c>
      <c r="I123" s="13">
        <f t="shared" si="2"/>
        <v>6.2934562467398703</v>
      </c>
      <c r="J123" s="13">
        <v>0.30331501776206199</v>
      </c>
      <c r="K123" s="13" t="s">
        <v>31</v>
      </c>
      <c r="L123" s="13" t="s">
        <v>31</v>
      </c>
      <c r="M123" s="13" t="s">
        <v>31</v>
      </c>
    </row>
    <row r="124" spans="1:13">
      <c r="A124" s="12" t="s">
        <v>389</v>
      </c>
      <c r="B124" s="13">
        <f>36.068*14</f>
        <v>504.952</v>
      </c>
      <c r="C124" s="13" t="s">
        <v>37</v>
      </c>
      <c r="D124" s="13" t="s">
        <v>38</v>
      </c>
      <c r="E124" s="13" t="s">
        <v>29</v>
      </c>
      <c r="F124" s="13" t="s">
        <v>130</v>
      </c>
      <c r="G124" s="13" t="s">
        <v>33</v>
      </c>
      <c r="H124" s="13">
        <v>2</v>
      </c>
      <c r="I124" s="13">
        <f t="shared" si="2"/>
        <v>6.2244633752529186</v>
      </c>
      <c r="J124" s="13">
        <v>0.30331501776206199</v>
      </c>
      <c r="K124" s="13" t="s">
        <v>31</v>
      </c>
      <c r="L124" s="13" t="s">
        <v>31</v>
      </c>
      <c r="M124" s="13" t="s">
        <v>31</v>
      </c>
    </row>
    <row r="125" spans="1:13">
      <c r="A125" s="18" t="s">
        <v>5</v>
      </c>
      <c r="B125" s="19" t="s">
        <v>419</v>
      </c>
      <c r="C125" s="3"/>
      <c r="D125" s="11"/>
      <c r="E125" s="11"/>
      <c r="F125" s="11"/>
      <c r="G125" s="11"/>
      <c r="H125" s="11"/>
      <c r="I125" s="11"/>
      <c r="J125" s="11"/>
      <c r="K125" s="11"/>
      <c r="L125" s="11"/>
      <c r="M125" s="11"/>
    </row>
    <row r="126" spans="1:13">
      <c r="A126" s="12" t="s">
        <v>7</v>
      </c>
      <c r="B126" s="13" t="s">
        <v>435</v>
      </c>
      <c r="C126" s="4"/>
      <c r="D126" s="13"/>
      <c r="E126" s="13"/>
      <c r="F126" s="13"/>
      <c r="G126" s="13"/>
      <c r="H126" s="13"/>
      <c r="I126" s="13"/>
      <c r="J126" s="13"/>
      <c r="K126" s="13"/>
      <c r="L126" s="13"/>
      <c r="M126" s="13"/>
    </row>
    <row r="127" spans="1:13">
      <c r="A127" s="12" t="s">
        <v>9</v>
      </c>
      <c r="B127" s="13" t="s">
        <v>445</v>
      </c>
      <c r="C127" s="4"/>
      <c r="D127" s="13"/>
      <c r="E127" s="13"/>
      <c r="F127" s="13"/>
      <c r="G127" s="13"/>
      <c r="H127" s="13"/>
      <c r="I127" s="13"/>
      <c r="J127" s="13"/>
      <c r="K127" s="13"/>
      <c r="L127" s="13"/>
      <c r="M127" s="13"/>
    </row>
    <row r="128" spans="1:13" ht="30">
      <c r="A128" s="12" t="s">
        <v>11</v>
      </c>
      <c r="B128" s="14" t="s">
        <v>446</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419</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428</v>
      </c>
      <c r="B136" s="13">
        <v>321.89999999999998</v>
      </c>
      <c r="C136" s="13" t="s">
        <v>37</v>
      </c>
      <c r="D136" s="13" t="s">
        <v>38</v>
      </c>
      <c r="E136" s="13" t="s">
        <v>29</v>
      </c>
      <c r="F136" s="13" t="s">
        <v>57</v>
      </c>
      <c r="G136" s="13" t="s">
        <v>33</v>
      </c>
      <c r="H136" s="13">
        <v>2</v>
      </c>
      <c r="I136" s="13">
        <f>LN(B136)</f>
        <v>5.7742409383047626</v>
      </c>
      <c r="J136" s="13">
        <v>0.24083189157584584</v>
      </c>
      <c r="K136" s="13" t="s">
        <v>31</v>
      </c>
      <c r="L136" s="13" t="s">
        <v>31</v>
      </c>
      <c r="M136" s="13" t="s">
        <v>31</v>
      </c>
    </row>
    <row r="137" spans="1:13">
      <c r="A137" s="18" t="s">
        <v>5</v>
      </c>
      <c r="B137" s="19" t="s">
        <v>420</v>
      </c>
      <c r="C137" s="3"/>
      <c r="D137" s="11"/>
      <c r="E137" s="11"/>
      <c r="F137" s="11"/>
      <c r="G137" s="11"/>
      <c r="H137" s="11"/>
      <c r="I137" s="11"/>
      <c r="J137" s="11"/>
      <c r="K137" s="11"/>
      <c r="L137" s="11"/>
      <c r="M137" s="11"/>
    </row>
    <row r="138" spans="1:13">
      <c r="A138" s="12" t="s">
        <v>7</v>
      </c>
      <c r="B138" s="13" t="s">
        <v>435</v>
      </c>
      <c r="C138" s="4"/>
      <c r="D138" s="13"/>
      <c r="E138" s="13"/>
      <c r="F138" s="13"/>
      <c r="G138" s="13"/>
      <c r="H138" s="13"/>
      <c r="I138" s="13"/>
      <c r="J138" s="13"/>
      <c r="K138" s="13"/>
      <c r="L138" s="13"/>
      <c r="M138" s="13"/>
    </row>
    <row r="139" spans="1:13">
      <c r="A139" s="12" t="s">
        <v>9</v>
      </c>
      <c r="B139" s="13" t="s">
        <v>447</v>
      </c>
      <c r="C139" s="4"/>
      <c r="D139" s="13"/>
      <c r="E139" s="13"/>
      <c r="F139" s="13"/>
      <c r="G139" s="13"/>
      <c r="H139" s="13"/>
      <c r="I139" s="13"/>
      <c r="J139" s="13"/>
      <c r="K139" s="13"/>
      <c r="L139" s="13"/>
      <c r="M139" s="13"/>
    </row>
    <row r="140" spans="1:13" ht="30">
      <c r="A140" s="12" t="s">
        <v>11</v>
      </c>
      <c r="B140" s="14" t="s">
        <v>448</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252</v>
      </c>
      <c r="B147" s="13">
        <f>110.918*10</f>
        <v>1109.18</v>
      </c>
      <c r="C147" s="13" t="s">
        <v>37</v>
      </c>
      <c r="D147" s="13" t="s">
        <v>38</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442</v>
      </c>
      <c r="B148" s="13">
        <f>110.918*9</f>
        <v>998.26200000000006</v>
      </c>
      <c r="C148" s="13" t="s">
        <v>37</v>
      </c>
      <c r="D148" s="13" t="s">
        <v>38</v>
      </c>
      <c r="E148" s="13" t="s">
        <v>29</v>
      </c>
      <c r="F148" s="13" t="s">
        <v>35</v>
      </c>
      <c r="G148" s="13" t="s">
        <v>33</v>
      </c>
      <c r="H148" s="13">
        <v>2</v>
      </c>
      <c r="I148" s="13">
        <f t="shared" si="3"/>
        <v>6.9060157669078928</v>
      </c>
      <c r="J148" s="13">
        <v>0.30331501776206199</v>
      </c>
      <c r="K148" s="13" t="s">
        <v>31</v>
      </c>
      <c r="L148" s="13" t="s">
        <v>31</v>
      </c>
      <c r="M148" s="13" t="s">
        <v>31</v>
      </c>
    </row>
    <row r="149" spans="1:13">
      <c r="A149" s="12" t="s">
        <v>252</v>
      </c>
      <c r="B149" s="13">
        <f>110.918*9</f>
        <v>998.26200000000006</v>
      </c>
      <c r="C149" s="13" t="s">
        <v>37</v>
      </c>
      <c r="D149" s="13" t="s">
        <v>38</v>
      </c>
      <c r="E149" s="13" t="s">
        <v>29</v>
      </c>
      <c r="F149" s="13" t="s">
        <v>57</v>
      </c>
      <c r="G149" s="13" t="s">
        <v>269</v>
      </c>
      <c r="H149" s="13">
        <v>2</v>
      </c>
      <c r="I149" s="13">
        <f t="shared" si="3"/>
        <v>6.9060157669078928</v>
      </c>
      <c r="J149" s="13">
        <v>0.30331501776206199</v>
      </c>
      <c r="K149" s="13" t="s">
        <v>31</v>
      </c>
      <c r="L149" s="13" t="s">
        <v>31</v>
      </c>
      <c r="M149" s="13" t="s">
        <v>31</v>
      </c>
    </row>
    <row r="150" spans="1:13">
      <c r="A150" s="12" t="s">
        <v>255</v>
      </c>
      <c r="B150" s="13">
        <f>15.527*2.2</f>
        <v>34.159399999999998</v>
      </c>
      <c r="C150" s="13" t="s">
        <v>37</v>
      </c>
      <c r="D150" s="13" t="s">
        <v>38</v>
      </c>
      <c r="E150" s="13" t="s">
        <v>29</v>
      </c>
      <c r="F150" s="13" t="s">
        <v>57</v>
      </c>
      <c r="G150" s="13" t="s">
        <v>33</v>
      </c>
      <c r="H150" s="13">
        <v>2</v>
      </c>
      <c r="I150" s="13">
        <f t="shared" si="3"/>
        <v>3.5310378043633026</v>
      </c>
      <c r="J150" s="13">
        <v>0.30331501776206199</v>
      </c>
      <c r="K150" s="13" t="s">
        <v>31</v>
      </c>
      <c r="L150" s="13" t="s">
        <v>31</v>
      </c>
      <c r="M150" s="13" t="s">
        <v>31</v>
      </c>
    </row>
    <row r="151" spans="1:13">
      <c r="A151" s="12" t="s">
        <v>302</v>
      </c>
      <c r="B151" s="13">
        <f>15.527*(2.2-1)</f>
        <v>18.632400000000001</v>
      </c>
      <c r="C151" s="13" t="s">
        <v>37</v>
      </c>
      <c r="D151" s="13" t="s">
        <v>38</v>
      </c>
      <c r="E151" s="13" t="s">
        <v>29</v>
      </c>
      <c r="F151" s="13" t="s">
        <v>130</v>
      </c>
      <c r="G151" s="13" t="s">
        <v>33</v>
      </c>
      <c r="H151" s="13">
        <v>2</v>
      </c>
      <c r="I151" s="13">
        <v>7.1283395581514224</v>
      </c>
      <c r="J151" s="13">
        <v>0.30331501776206199</v>
      </c>
      <c r="K151" s="13" t="s">
        <v>31</v>
      </c>
      <c r="L151" s="13" t="s">
        <v>31</v>
      </c>
      <c r="M151" s="13" t="s">
        <v>31</v>
      </c>
    </row>
    <row r="152" spans="1:13">
      <c r="A152" s="12" t="s">
        <v>255</v>
      </c>
      <c r="B152" s="13">
        <f>15.527*(2.2-1)</f>
        <v>18.632400000000001</v>
      </c>
      <c r="C152" s="13" t="s">
        <v>37</v>
      </c>
      <c r="D152" s="13" t="s">
        <v>38</v>
      </c>
      <c r="E152" s="13" t="s">
        <v>29</v>
      </c>
      <c r="F152" s="13" t="s">
        <v>57</v>
      </c>
      <c r="G152" s="13" t="s">
        <v>269</v>
      </c>
      <c r="H152" s="13">
        <v>2</v>
      </c>
      <c r="I152" s="13">
        <f t="shared" si="3"/>
        <v>2.9249020007929873</v>
      </c>
      <c r="J152" s="13">
        <v>0.30331501776206199</v>
      </c>
      <c r="K152" s="13" t="s">
        <v>31</v>
      </c>
      <c r="L152" s="13" t="s">
        <v>31</v>
      </c>
      <c r="M152" s="13" t="s">
        <v>31</v>
      </c>
    </row>
    <row r="153" spans="1:13">
      <c r="A153" s="12" t="s">
        <v>257</v>
      </c>
      <c r="B153" s="13">
        <f>7.337*1.2</f>
        <v>8.8043999999999993</v>
      </c>
      <c r="C153" s="13" t="s">
        <v>37</v>
      </c>
      <c r="D153" s="13" t="s">
        <v>38</v>
      </c>
      <c r="E153" s="13" t="s">
        <v>29</v>
      </c>
      <c r="F153" s="13" t="s">
        <v>57</v>
      </c>
      <c r="G153" s="13" t="s">
        <v>33</v>
      </c>
      <c r="H153" s="13">
        <v>2</v>
      </c>
      <c r="I153" s="13">
        <f t="shared" si="3"/>
        <v>2.1752515965258117</v>
      </c>
      <c r="J153" s="13">
        <v>0.30331501776206199</v>
      </c>
      <c r="K153" s="13" t="s">
        <v>31</v>
      </c>
      <c r="L153" s="13" t="s">
        <v>31</v>
      </c>
      <c r="M153" s="13" t="s">
        <v>31</v>
      </c>
    </row>
    <row r="154" spans="1:13">
      <c r="A154" s="12" t="s">
        <v>302</v>
      </c>
      <c r="B154" s="13">
        <f>7.337*(1.2-1)</f>
        <v>1.4673999999999996</v>
      </c>
      <c r="C154" s="13" t="s">
        <v>37</v>
      </c>
      <c r="D154" s="13" t="s">
        <v>38</v>
      </c>
      <c r="E154" s="13" t="s">
        <v>29</v>
      </c>
      <c r="F154" s="13" t="s">
        <v>130</v>
      </c>
      <c r="G154" s="13" t="s">
        <v>33</v>
      </c>
      <c r="H154" s="13">
        <v>2</v>
      </c>
      <c r="I154" s="13">
        <v>7.1283395581514224</v>
      </c>
      <c r="J154" s="13">
        <v>0.30331501776206199</v>
      </c>
      <c r="K154" s="13" t="s">
        <v>31</v>
      </c>
      <c r="L154" s="13" t="s">
        <v>31</v>
      </c>
      <c r="M154" s="13" t="s">
        <v>31</v>
      </c>
    </row>
    <row r="155" spans="1:13">
      <c r="A155" s="12" t="s">
        <v>257</v>
      </c>
      <c r="B155" s="13">
        <f>7.337*(1.2-1)</f>
        <v>1.4673999999999996</v>
      </c>
      <c r="C155" s="13" t="s">
        <v>37</v>
      </c>
      <c r="D155" s="13" t="s">
        <v>38</v>
      </c>
      <c r="E155" s="13" t="s">
        <v>29</v>
      </c>
      <c r="F155" s="13" t="s">
        <v>57</v>
      </c>
      <c r="G155" s="13" t="s">
        <v>269</v>
      </c>
      <c r="H155" s="13">
        <v>2</v>
      </c>
      <c r="I155" s="13">
        <f t="shared" si="3"/>
        <v>0.38349212729775656</v>
      </c>
      <c r="J155" s="13">
        <v>0.30331501776206199</v>
      </c>
      <c r="K155" s="13" t="s">
        <v>31</v>
      </c>
      <c r="L155" s="13" t="s">
        <v>31</v>
      </c>
      <c r="M155" s="13" t="s">
        <v>31</v>
      </c>
    </row>
    <row r="156" spans="1:13">
      <c r="A156" s="12" t="s">
        <v>258</v>
      </c>
      <c r="B156" s="13">
        <f>47.819*2.2</f>
        <v>105.20180000000002</v>
      </c>
      <c r="C156" s="13" t="s">
        <v>37</v>
      </c>
      <c r="D156" s="13" t="s">
        <v>38</v>
      </c>
      <c r="E156" s="13" t="s">
        <v>29</v>
      </c>
      <c r="F156" s="13" t="s">
        <v>57</v>
      </c>
      <c r="G156" s="13" t="s">
        <v>33</v>
      </c>
      <c r="H156" s="13">
        <v>2</v>
      </c>
      <c r="I156" s="13">
        <f t="shared" si="3"/>
        <v>4.6558804104233902</v>
      </c>
      <c r="J156" s="13">
        <v>0.30331501776206199</v>
      </c>
      <c r="K156" s="13" t="s">
        <v>31</v>
      </c>
      <c r="L156" s="13" t="s">
        <v>31</v>
      </c>
      <c r="M156" s="13" t="s">
        <v>31</v>
      </c>
    </row>
    <row r="157" spans="1:13">
      <c r="A157" s="12" t="s">
        <v>302</v>
      </c>
      <c r="B157" s="13">
        <f>47.819*(2.2-1)</f>
        <v>57.38280000000001</v>
      </c>
      <c r="C157" s="13" t="s">
        <v>37</v>
      </c>
      <c r="D157" s="13" t="s">
        <v>38</v>
      </c>
      <c r="E157" s="13" t="s">
        <v>29</v>
      </c>
      <c r="F157" s="13" t="s">
        <v>130</v>
      </c>
      <c r="G157" s="13" t="s">
        <v>33</v>
      </c>
      <c r="H157" s="13">
        <v>2</v>
      </c>
      <c r="I157" s="13">
        <v>7.1283395581514224</v>
      </c>
      <c r="J157" s="13">
        <v>0.30331501776206199</v>
      </c>
      <c r="K157" s="13" t="s">
        <v>31</v>
      </c>
      <c r="L157" s="13" t="s">
        <v>31</v>
      </c>
      <c r="M157" s="13" t="s">
        <v>31</v>
      </c>
    </row>
    <row r="158" spans="1:13">
      <c r="A158" s="12" t="s">
        <v>258</v>
      </c>
      <c r="B158" s="13">
        <f>47.819*(2.2-1)</f>
        <v>57.38280000000001</v>
      </c>
      <c r="C158" s="13" t="s">
        <v>37</v>
      </c>
      <c r="D158" s="13" t="s">
        <v>38</v>
      </c>
      <c r="E158" s="13" t="s">
        <v>29</v>
      </c>
      <c r="F158" s="13" t="s">
        <v>57</v>
      </c>
      <c r="G158" s="13" t="s">
        <v>269</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202</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449</v>
      </c>
      <c r="C4" s="4"/>
      <c r="D4" s="13"/>
      <c r="E4" s="13"/>
      <c r="F4" s="13"/>
      <c r="G4" s="13"/>
      <c r="H4" s="13"/>
      <c r="I4" s="13"/>
      <c r="J4" s="13"/>
      <c r="K4" s="13"/>
      <c r="L4" s="13"/>
      <c r="M4" s="13"/>
    </row>
    <row r="5" spans="1:13" ht="45">
      <c r="A5" s="12" t="s">
        <v>11</v>
      </c>
      <c r="B5" s="14" t="s">
        <v>450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451</v>
      </c>
      <c r="B13" s="13">
        <v>71.151302400000006</v>
      </c>
      <c r="C13" s="13" t="s">
        <v>37</v>
      </c>
      <c r="D13" s="13" t="s">
        <v>38</v>
      </c>
      <c r="E13" s="13" t="s">
        <v>29</v>
      </c>
      <c r="F13" s="13" t="s">
        <v>130</v>
      </c>
      <c r="G13" s="13" t="s">
        <v>33</v>
      </c>
      <c r="H13" s="13">
        <v>2</v>
      </c>
      <c r="I13" s="13">
        <f>LN(B13)</f>
        <v>4.2648086293577858</v>
      </c>
      <c r="J13" s="13">
        <v>0.24207436873820401</v>
      </c>
      <c r="K13" s="13" t="s">
        <v>31</v>
      </c>
      <c r="L13" s="13" t="s">
        <v>31</v>
      </c>
      <c r="M13" s="13" t="s">
        <v>31</v>
      </c>
    </row>
    <row r="14" spans="1:13">
      <c r="A14" s="12" t="s">
        <v>452</v>
      </c>
      <c r="B14" s="13">
        <v>420.41844480000003</v>
      </c>
      <c r="C14" s="13" t="s">
        <v>37</v>
      </c>
      <c r="D14" s="13" t="s">
        <v>38</v>
      </c>
      <c r="E14" s="13" t="s">
        <v>29</v>
      </c>
      <c r="F14" s="13" t="s">
        <v>57</v>
      </c>
      <c r="G14" s="13" t="s">
        <v>33</v>
      </c>
      <c r="H14" s="13">
        <v>2</v>
      </c>
      <c r="I14" s="13">
        <f>LN(B14)</f>
        <v>6.0412505124456706</v>
      </c>
      <c r="J14" s="13">
        <v>0.24207436873820401</v>
      </c>
      <c r="K14" s="13" t="s">
        <v>31</v>
      </c>
      <c r="L14" s="13" t="s">
        <v>31</v>
      </c>
      <c r="M14" s="13" t="s">
        <v>31</v>
      </c>
    </row>
    <row r="15" spans="1:13">
      <c r="A15" s="12" t="s">
        <v>453</v>
      </c>
      <c r="B15" s="13">
        <v>667.24625279999998</v>
      </c>
      <c r="C15" s="13" t="s">
        <v>37</v>
      </c>
      <c r="D15" s="13" t="s">
        <v>38</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Q21" sqref="Q21"/>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203</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454</v>
      </c>
      <c r="C4" s="4"/>
      <c r="D4" s="13"/>
      <c r="E4" s="13"/>
      <c r="F4" s="13"/>
      <c r="G4" s="13"/>
      <c r="H4" s="13"/>
      <c r="I4" s="13"/>
      <c r="J4" s="13"/>
      <c r="K4" s="13"/>
      <c r="L4" s="13"/>
      <c r="M4" s="13"/>
    </row>
    <row r="5" spans="1:13" ht="45">
      <c r="A5" s="12" t="s">
        <v>11</v>
      </c>
      <c r="B5" s="14" t="s">
        <v>455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457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458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459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460</v>
      </c>
      <c r="B17" s="13">
        <v>1</v>
      </c>
      <c r="C17" s="13" t="s">
        <v>18</v>
      </c>
      <c r="D17" s="13" t="s">
        <v>2</v>
      </c>
      <c r="E17" s="13" t="s">
        <v>29</v>
      </c>
      <c r="F17" s="13" t="s">
        <v>14</v>
      </c>
      <c r="G17" s="13" t="s">
        <v>33</v>
      </c>
      <c r="H17" s="13">
        <v>1</v>
      </c>
      <c r="I17" s="13">
        <v>1</v>
      </c>
      <c r="J17" s="13" t="s">
        <v>31</v>
      </c>
      <c r="K17" s="13" t="s">
        <v>31</v>
      </c>
      <c r="L17" s="13" t="s">
        <v>31</v>
      </c>
      <c r="M17" s="13" t="s">
        <v>31</v>
      </c>
    </row>
    <row r="18" spans="1:13">
      <c r="A18" s="13" t="s">
        <v>461</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456</v>
      </c>
      <c r="C19" s="3"/>
      <c r="D19" s="11"/>
      <c r="E19" s="11"/>
      <c r="F19" s="11"/>
      <c r="G19" s="11"/>
      <c r="H19" s="11"/>
      <c r="I19" s="11"/>
      <c r="J19" s="11"/>
      <c r="K19" s="11"/>
      <c r="L19" s="11"/>
      <c r="M19" s="11"/>
    </row>
    <row r="20" spans="1:13">
      <c r="A20" s="12" t="s">
        <v>7</v>
      </c>
      <c r="B20" s="13" t="s">
        <v>462</v>
      </c>
      <c r="C20" s="4"/>
      <c r="D20" s="13"/>
      <c r="E20" s="13"/>
      <c r="F20" s="13"/>
      <c r="G20" s="13"/>
      <c r="H20" s="13"/>
      <c r="I20" s="13"/>
      <c r="J20" s="13"/>
      <c r="K20" s="13"/>
      <c r="L20" s="13"/>
      <c r="M20" s="13"/>
    </row>
    <row r="21" spans="1:13">
      <c r="A21" s="12" t="s">
        <v>9</v>
      </c>
      <c r="B21" s="13" t="s">
        <v>463</v>
      </c>
      <c r="C21" s="4"/>
      <c r="D21" s="13"/>
      <c r="E21" s="13"/>
      <c r="F21" s="13"/>
      <c r="G21" s="13"/>
      <c r="H21" s="13"/>
      <c r="I21" s="13"/>
      <c r="J21" s="13"/>
      <c r="K21" s="13"/>
      <c r="L21" s="13"/>
      <c r="M21" s="13"/>
    </row>
    <row r="22" spans="1:13" ht="45">
      <c r="A22" s="12" t="s">
        <v>11</v>
      </c>
      <c r="B22" s="14" t="s">
        <v>464</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456</v>
      </c>
      <c r="B29" s="13">
        <v>1</v>
      </c>
      <c r="C29" s="13" t="s">
        <v>18</v>
      </c>
      <c r="D29" s="13" t="s">
        <v>2</v>
      </c>
      <c r="E29" s="13" t="s">
        <v>29</v>
      </c>
      <c r="F29" s="13" t="s">
        <v>14</v>
      </c>
      <c r="G29" s="13" t="s">
        <v>30</v>
      </c>
      <c r="H29" s="13">
        <v>1</v>
      </c>
      <c r="I29" s="13">
        <v>1</v>
      </c>
      <c r="J29" s="13" t="s">
        <v>31</v>
      </c>
      <c r="K29" s="13" t="s">
        <v>31</v>
      </c>
      <c r="L29" s="13" t="s">
        <v>31</v>
      </c>
      <c r="M29" s="13" t="s">
        <v>31</v>
      </c>
    </row>
    <row r="30" spans="1:13">
      <c r="A30" s="12" t="s">
        <v>451</v>
      </c>
      <c r="B30" s="13">
        <v>0.95000000000000007</v>
      </c>
      <c r="C30" s="13" t="s">
        <v>37</v>
      </c>
      <c r="D30" s="13" t="s">
        <v>38</v>
      </c>
      <c r="E30" s="13" t="s">
        <v>29</v>
      </c>
      <c r="F30" s="13" t="s">
        <v>130</v>
      </c>
      <c r="G30" s="13" t="s">
        <v>33</v>
      </c>
      <c r="H30" s="13">
        <v>2</v>
      </c>
      <c r="I30" s="13">
        <f>LN(B30)</f>
        <v>-5.129329438755046E-2</v>
      </c>
      <c r="J30" s="13">
        <v>0.29325756597230351</v>
      </c>
      <c r="K30" s="13" t="s">
        <v>31</v>
      </c>
      <c r="L30" s="13" t="s">
        <v>31</v>
      </c>
      <c r="M30" s="13" t="s">
        <v>31</v>
      </c>
    </row>
    <row r="31" spans="1:13">
      <c r="A31" s="12" t="s">
        <v>252</v>
      </c>
      <c r="B31" s="13">
        <v>18.05</v>
      </c>
      <c r="C31" s="13" t="s">
        <v>37</v>
      </c>
      <c r="D31" s="13" t="s">
        <v>38</v>
      </c>
      <c r="E31" s="13" t="s">
        <v>29</v>
      </c>
      <c r="F31" s="13" t="s">
        <v>57</v>
      </c>
      <c r="G31" s="13" t="s">
        <v>33</v>
      </c>
      <c r="H31" s="13">
        <v>2</v>
      </c>
      <c r="I31" s="13">
        <f>LN(B31)</f>
        <v>2.8931456847788901</v>
      </c>
      <c r="J31" s="13">
        <v>0.29325756597230351</v>
      </c>
      <c r="K31" s="13" t="s">
        <v>31</v>
      </c>
      <c r="L31" s="13" t="s">
        <v>31</v>
      </c>
      <c r="M31" s="13" t="s">
        <v>31</v>
      </c>
    </row>
    <row r="32" spans="1:13">
      <c r="A32" s="18" t="s">
        <v>5</v>
      </c>
      <c r="B32" s="19" t="s">
        <v>457</v>
      </c>
      <c r="C32" s="3"/>
      <c r="D32" s="11"/>
      <c r="E32" s="11"/>
      <c r="F32" s="11"/>
      <c r="G32" s="11"/>
      <c r="H32" s="11"/>
      <c r="I32" s="11"/>
      <c r="J32" s="11"/>
      <c r="K32" s="11"/>
      <c r="L32" s="11"/>
      <c r="M32" s="11"/>
    </row>
    <row r="33" spans="1:13">
      <c r="A33" s="12" t="s">
        <v>7</v>
      </c>
      <c r="B33" s="13" t="s">
        <v>462</v>
      </c>
      <c r="C33" s="4"/>
      <c r="D33" s="13"/>
      <c r="E33" s="13"/>
      <c r="F33" s="13"/>
      <c r="G33" s="13"/>
      <c r="H33" s="13"/>
      <c r="I33" s="13"/>
      <c r="J33" s="13"/>
      <c r="K33" s="13"/>
      <c r="L33" s="13"/>
      <c r="M33" s="13"/>
    </row>
    <row r="34" spans="1:13">
      <c r="A34" s="12" t="s">
        <v>9</v>
      </c>
      <c r="B34" s="13" t="s">
        <v>465</v>
      </c>
      <c r="C34" s="4"/>
      <c r="D34" s="13"/>
      <c r="E34" s="13"/>
      <c r="F34" s="13"/>
      <c r="G34" s="13"/>
      <c r="H34" s="13"/>
      <c r="I34" s="13"/>
      <c r="J34" s="13"/>
      <c r="K34" s="13"/>
      <c r="L34" s="13"/>
      <c r="M34" s="13"/>
    </row>
    <row r="35" spans="1:13" ht="45">
      <c r="A35" s="12" t="s">
        <v>11</v>
      </c>
      <c r="B35" s="14" t="s">
        <v>466</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457</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252</v>
      </c>
      <c r="B43" s="13">
        <v>301.19</v>
      </c>
      <c r="C43" s="13" t="s">
        <v>37</v>
      </c>
      <c r="D43" s="13" t="s">
        <v>38</v>
      </c>
      <c r="E43" s="13" t="s">
        <v>29</v>
      </c>
      <c r="F43" s="13" t="s">
        <v>57</v>
      </c>
      <c r="G43" s="13" t="s">
        <v>33</v>
      </c>
      <c r="H43" s="13">
        <v>2</v>
      </c>
      <c r="I43" s="13">
        <f>LN(B43)</f>
        <v>5.7077412948433803</v>
      </c>
      <c r="J43" s="13">
        <v>0.29325756597230351</v>
      </c>
      <c r="K43" s="13" t="s">
        <v>31</v>
      </c>
      <c r="L43" s="13" t="s">
        <v>31</v>
      </c>
      <c r="M43" s="13" t="s">
        <v>31</v>
      </c>
    </row>
    <row r="44" spans="1:13">
      <c r="A44" s="18" t="s">
        <v>5</v>
      </c>
      <c r="B44" s="19" t="s">
        <v>458</v>
      </c>
      <c r="C44" s="3"/>
      <c r="D44" s="11"/>
      <c r="E44" s="11"/>
      <c r="F44" s="11"/>
      <c r="G44" s="11"/>
      <c r="H44" s="11"/>
      <c r="I44" s="11"/>
      <c r="J44" s="11"/>
      <c r="K44" s="11"/>
      <c r="L44" s="11"/>
      <c r="M44" s="11"/>
    </row>
    <row r="45" spans="1:13">
      <c r="A45" s="12" t="s">
        <v>7</v>
      </c>
      <c r="B45" s="13" t="s">
        <v>462</v>
      </c>
      <c r="C45" s="4"/>
      <c r="D45" s="13"/>
      <c r="E45" s="13"/>
      <c r="F45" s="13"/>
      <c r="G45" s="13"/>
      <c r="H45" s="13"/>
      <c r="I45" s="13"/>
      <c r="J45" s="13"/>
      <c r="K45" s="13"/>
      <c r="L45" s="13"/>
      <c r="M45" s="13"/>
    </row>
    <row r="46" spans="1:13">
      <c r="A46" s="12" t="s">
        <v>9</v>
      </c>
      <c r="B46" s="13" t="s">
        <v>467</v>
      </c>
      <c r="C46" s="4"/>
      <c r="D46" s="13"/>
      <c r="E46" s="13"/>
      <c r="F46" s="13"/>
      <c r="G46" s="13"/>
      <c r="H46" s="13"/>
      <c r="I46" s="13"/>
      <c r="J46" s="13"/>
      <c r="K46" s="13"/>
      <c r="L46" s="13"/>
      <c r="M46" s="13"/>
    </row>
    <row r="47" spans="1:13" ht="45">
      <c r="A47" s="12" t="s">
        <v>11</v>
      </c>
      <c r="B47" s="14" t="s">
        <v>468</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458</v>
      </c>
      <c r="B54" s="13">
        <v>1</v>
      </c>
      <c r="C54" s="13" t="s">
        <v>18</v>
      </c>
      <c r="D54" s="13" t="s">
        <v>2</v>
      </c>
      <c r="E54" s="13" t="s">
        <v>29</v>
      </c>
      <c r="F54" s="13" t="s">
        <v>14</v>
      </c>
      <c r="G54" s="13" t="s">
        <v>30</v>
      </c>
      <c r="H54" s="13">
        <v>1</v>
      </c>
      <c r="I54" s="13">
        <v>1</v>
      </c>
      <c r="J54" s="13" t="s">
        <v>31</v>
      </c>
      <c r="K54" s="13" t="s">
        <v>31</v>
      </c>
      <c r="L54" s="13" t="s">
        <v>31</v>
      </c>
      <c r="M54" s="13" t="s">
        <v>31</v>
      </c>
    </row>
    <row r="55" spans="1:13">
      <c r="A55" s="12" t="s">
        <v>469</v>
      </c>
      <c r="B55" s="13">
        <v>10</v>
      </c>
      <c r="C55" s="13" t="s">
        <v>37</v>
      </c>
      <c r="D55" s="13" t="s">
        <v>38</v>
      </c>
      <c r="E55" s="13" t="s">
        <v>29</v>
      </c>
      <c r="F55" s="13" t="s">
        <v>57</v>
      </c>
      <c r="G55" s="13" t="s">
        <v>33</v>
      </c>
      <c r="H55" s="13">
        <v>2</v>
      </c>
      <c r="I55" s="13">
        <f>LN(B55)</f>
        <v>2.3025850929940459</v>
      </c>
      <c r="J55" s="13">
        <v>0.29325756597230351</v>
      </c>
      <c r="K55" s="13" t="s">
        <v>31</v>
      </c>
      <c r="L55" s="13" t="s">
        <v>31</v>
      </c>
      <c r="M55" s="13" t="s">
        <v>31</v>
      </c>
    </row>
    <row r="56" spans="1:13">
      <c r="A56" s="18" t="s">
        <v>5</v>
      </c>
      <c r="B56" s="19" t="s">
        <v>459</v>
      </c>
      <c r="C56" s="3"/>
      <c r="D56" s="11"/>
      <c r="E56" s="11"/>
      <c r="F56" s="11"/>
      <c r="G56" s="11"/>
      <c r="H56" s="11"/>
      <c r="I56" s="11"/>
      <c r="J56" s="11"/>
      <c r="K56" s="11"/>
      <c r="L56" s="11"/>
      <c r="M56" s="11"/>
    </row>
    <row r="57" spans="1:13">
      <c r="A57" s="12" t="s">
        <v>7</v>
      </c>
      <c r="B57" s="13" t="s">
        <v>462</v>
      </c>
      <c r="C57" s="4"/>
      <c r="D57" s="13"/>
      <c r="E57" s="13"/>
      <c r="F57" s="13"/>
      <c r="G57" s="13"/>
      <c r="H57" s="13"/>
      <c r="I57" s="13"/>
      <c r="J57" s="13"/>
      <c r="K57" s="13"/>
      <c r="L57" s="13"/>
      <c r="M57" s="13"/>
    </row>
    <row r="58" spans="1:13">
      <c r="A58" s="12" t="s">
        <v>9</v>
      </c>
      <c r="B58" s="13" t="s">
        <v>470</v>
      </c>
      <c r="C58" s="4"/>
      <c r="D58" s="13"/>
      <c r="E58" s="13"/>
      <c r="F58" s="13"/>
      <c r="G58" s="13"/>
      <c r="H58" s="13"/>
      <c r="I58" s="13"/>
      <c r="J58" s="13"/>
      <c r="K58" s="13"/>
      <c r="L58" s="13"/>
      <c r="M58" s="13"/>
    </row>
    <row r="59" spans="1:13" ht="45">
      <c r="A59" s="12" t="s">
        <v>11</v>
      </c>
      <c r="B59" s="14" t="s">
        <v>471</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459</v>
      </c>
      <c r="B66" s="13">
        <v>1</v>
      </c>
      <c r="C66" s="13" t="s">
        <v>18</v>
      </c>
      <c r="D66" s="13" t="s">
        <v>2</v>
      </c>
      <c r="E66" s="13" t="s">
        <v>29</v>
      </c>
      <c r="F66" s="13" t="s">
        <v>14</v>
      </c>
      <c r="G66" s="13" t="s">
        <v>30</v>
      </c>
      <c r="H66" s="13">
        <v>1</v>
      </c>
      <c r="I66" s="13">
        <v>1</v>
      </c>
      <c r="J66" s="13" t="s">
        <v>31</v>
      </c>
      <c r="K66" s="13" t="s">
        <v>31</v>
      </c>
      <c r="L66" s="13" t="s">
        <v>31</v>
      </c>
      <c r="M66" s="13" t="s">
        <v>31</v>
      </c>
    </row>
    <row r="67" spans="1:14">
      <c r="A67" s="12" t="s">
        <v>472</v>
      </c>
      <c r="B67" s="13">
        <v>11.8</v>
      </c>
      <c r="C67" s="13" t="s">
        <v>37</v>
      </c>
      <c r="D67" s="13" t="s">
        <v>38</v>
      </c>
      <c r="E67" s="13" t="s">
        <v>29</v>
      </c>
      <c r="F67" s="13" t="s">
        <v>57</v>
      </c>
      <c r="G67" s="13" t="s">
        <v>33</v>
      </c>
      <c r="H67" s="13">
        <v>2</v>
      </c>
      <c r="I67" s="13">
        <f>LN(B67)</f>
        <v>2.4680995314716192</v>
      </c>
      <c r="J67" s="13">
        <v>0.29325756597230351</v>
      </c>
      <c r="K67" s="13" t="s">
        <v>31</v>
      </c>
      <c r="L67" s="13" t="s">
        <v>31</v>
      </c>
      <c r="M67" s="13" t="s">
        <v>31</v>
      </c>
      <c r="N67" t="s">
        <v>473</v>
      </c>
    </row>
    <row r="68" spans="1:14">
      <c r="A68" s="12" t="s">
        <v>299</v>
      </c>
      <c r="B68" s="13">
        <v>6.26</v>
      </c>
      <c r="C68" s="13" t="s">
        <v>37</v>
      </c>
      <c r="D68" s="13" t="s">
        <v>38</v>
      </c>
      <c r="E68" s="13" t="s">
        <v>29</v>
      </c>
      <c r="F68" s="13" t="s">
        <v>57</v>
      </c>
      <c r="G68" s="13" t="s">
        <v>33</v>
      </c>
      <c r="H68" s="13">
        <v>2</v>
      </c>
      <c r="I68" s="13">
        <f>LN(B68)</f>
        <v>1.8341801851120072</v>
      </c>
      <c r="J68" s="13">
        <v>0.29325756597230351</v>
      </c>
      <c r="K68" s="13" t="s">
        <v>31</v>
      </c>
      <c r="L68" s="13" t="s">
        <v>31</v>
      </c>
      <c r="M68" s="13" t="s">
        <v>31</v>
      </c>
    </row>
    <row r="69" spans="1:14">
      <c r="A69" s="18" t="s">
        <v>5</v>
      </c>
      <c r="B69" s="19" t="s">
        <v>460</v>
      </c>
      <c r="C69" s="3"/>
      <c r="D69" s="11"/>
      <c r="E69" s="11"/>
      <c r="F69" s="11"/>
      <c r="G69" s="11"/>
      <c r="H69" s="11"/>
      <c r="I69" s="11"/>
      <c r="J69" s="11"/>
      <c r="K69" s="11"/>
      <c r="L69" s="11"/>
      <c r="M69" s="11"/>
    </row>
    <row r="70" spans="1:14">
      <c r="A70" s="12" t="s">
        <v>7</v>
      </c>
      <c r="B70" s="13" t="s">
        <v>462</v>
      </c>
      <c r="C70" s="4"/>
      <c r="D70" s="13"/>
      <c r="E70" s="13"/>
      <c r="F70" s="13"/>
      <c r="G70" s="13"/>
      <c r="H70" s="13"/>
      <c r="I70" s="13"/>
      <c r="J70" s="13"/>
      <c r="K70" s="13"/>
      <c r="L70" s="13"/>
      <c r="M70" s="13"/>
    </row>
    <row r="71" spans="1:14">
      <c r="A71" s="12" t="s">
        <v>9</v>
      </c>
      <c r="B71" s="13" t="s">
        <v>474</v>
      </c>
      <c r="C71" s="4"/>
      <c r="D71" s="13"/>
      <c r="E71" s="13"/>
      <c r="F71" s="13"/>
      <c r="G71" s="13"/>
      <c r="H71" s="13"/>
      <c r="I71" s="13"/>
      <c r="J71" s="13"/>
      <c r="K71" s="13"/>
      <c r="L71" s="13"/>
      <c r="M71" s="13"/>
    </row>
    <row r="72" spans="1:14" ht="45">
      <c r="A72" s="12" t="s">
        <v>11</v>
      </c>
      <c r="B72" s="14" t="s">
        <v>475</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460</v>
      </c>
      <c r="B79" s="13">
        <v>1</v>
      </c>
      <c r="C79" s="13" t="s">
        <v>18</v>
      </c>
      <c r="D79" s="13" t="s">
        <v>2</v>
      </c>
      <c r="E79" s="13" t="s">
        <v>29</v>
      </c>
      <c r="F79" s="13" t="s">
        <v>14</v>
      </c>
      <c r="G79" s="13" t="s">
        <v>30</v>
      </c>
      <c r="H79" s="13">
        <v>1</v>
      </c>
      <c r="I79" s="13">
        <v>1</v>
      </c>
      <c r="J79" s="13" t="s">
        <v>31</v>
      </c>
      <c r="K79" s="13" t="s">
        <v>31</v>
      </c>
      <c r="L79" s="13" t="s">
        <v>31</v>
      </c>
      <c r="M79" s="13" t="s">
        <v>31</v>
      </c>
    </row>
    <row r="80" spans="1:14">
      <c r="A80" s="12" t="s">
        <v>476</v>
      </c>
      <c r="B80" s="13">
        <v>10.5</v>
      </c>
      <c r="C80" s="13" t="s">
        <v>37</v>
      </c>
      <c r="D80" s="13" t="s">
        <v>38</v>
      </c>
      <c r="E80" s="13" t="s">
        <v>29</v>
      </c>
      <c r="F80" s="13" t="s">
        <v>35</v>
      </c>
      <c r="G80" s="13" t="s">
        <v>33</v>
      </c>
      <c r="H80" s="13">
        <v>2</v>
      </c>
      <c r="I80" s="13">
        <f>LN(B80)</f>
        <v>2.3513752571634776</v>
      </c>
      <c r="J80" s="13">
        <v>0.29325756597230351</v>
      </c>
      <c r="K80" s="13" t="s">
        <v>31</v>
      </c>
      <c r="L80" s="13" t="s">
        <v>31</v>
      </c>
      <c r="M80" s="13" t="s">
        <v>31</v>
      </c>
    </row>
    <row r="81" spans="1:13">
      <c r="A81" s="12" t="s">
        <v>477</v>
      </c>
      <c r="B81" s="13">
        <v>10.5</v>
      </c>
      <c r="C81" s="13" t="s">
        <v>37</v>
      </c>
      <c r="D81" s="13" t="s">
        <v>38</v>
      </c>
      <c r="E81" s="13" t="s">
        <v>29</v>
      </c>
      <c r="F81" s="13" t="s">
        <v>57</v>
      </c>
      <c r="G81" s="13" t="s">
        <v>33</v>
      </c>
      <c r="H81" s="13">
        <v>2</v>
      </c>
      <c r="I81" s="13">
        <f>LN(B81)</f>
        <v>2.3513752571634776</v>
      </c>
      <c r="J81" s="13">
        <v>0.29325756597230351</v>
      </c>
      <c r="K81" s="13" t="s">
        <v>31</v>
      </c>
      <c r="L81" s="13" t="s">
        <v>31</v>
      </c>
      <c r="M81" s="13" t="s">
        <v>31</v>
      </c>
    </row>
    <row r="82" spans="1:13">
      <c r="A82" s="18" t="s">
        <v>5</v>
      </c>
      <c r="B82" s="19" t="s">
        <v>461</v>
      </c>
      <c r="C82" s="3"/>
      <c r="D82" s="11"/>
      <c r="E82" s="11"/>
      <c r="F82" s="11"/>
      <c r="G82" s="11"/>
      <c r="H82" s="11"/>
      <c r="I82" s="11"/>
      <c r="J82" s="11"/>
      <c r="K82" s="11"/>
      <c r="L82" s="11"/>
      <c r="M82" s="11"/>
    </row>
    <row r="83" spans="1:13">
      <c r="A83" s="12" t="s">
        <v>7</v>
      </c>
      <c r="B83" s="13" t="s">
        <v>462</v>
      </c>
      <c r="C83" s="4"/>
      <c r="D83" s="13"/>
      <c r="E83" s="13"/>
      <c r="F83" s="13"/>
      <c r="G83" s="13"/>
      <c r="H83" s="13"/>
      <c r="I83" s="13"/>
      <c r="J83" s="13"/>
      <c r="K83" s="13"/>
      <c r="L83" s="13"/>
      <c r="M83" s="13"/>
    </row>
    <row r="84" spans="1:13">
      <c r="A84" s="12" t="s">
        <v>9</v>
      </c>
      <c r="B84" s="13" t="s">
        <v>478</v>
      </c>
      <c r="C84" s="4"/>
      <c r="D84" s="13"/>
      <c r="E84" s="13"/>
      <c r="F84" s="13"/>
      <c r="G84" s="13"/>
      <c r="H84" s="13"/>
      <c r="I84" s="13"/>
      <c r="J84" s="13"/>
      <c r="K84" s="13"/>
      <c r="L84" s="13"/>
      <c r="M84" s="13"/>
    </row>
    <row r="85" spans="1:13" ht="45">
      <c r="A85" s="12" t="s">
        <v>11</v>
      </c>
      <c r="B85" s="14" t="s">
        <v>479</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461</v>
      </c>
      <c r="B92" s="13">
        <v>1</v>
      </c>
      <c r="C92" s="13" t="s">
        <v>18</v>
      </c>
      <c r="D92" s="13" t="s">
        <v>2</v>
      </c>
      <c r="E92" s="13" t="s">
        <v>29</v>
      </c>
      <c r="F92" s="13" t="s">
        <v>14</v>
      </c>
      <c r="G92" s="13" t="s">
        <v>30</v>
      </c>
      <c r="H92" s="13">
        <v>1</v>
      </c>
      <c r="I92" s="13">
        <v>1</v>
      </c>
      <c r="J92" s="13" t="s">
        <v>31</v>
      </c>
      <c r="K92" s="13" t="s">
        <v>31</v>
      </c>
      <c r="L92" s="13" t="s">
        <v>31</v>
      </c>
      <c r="M92" s="13" t="s">
        <v>31</v>
      </c>
    </row>
    <row r="93" spans="1:13">
      <c r="A93" s="12" t="s">
        <v>451</v>
      </c>
      <c r="B93" s="13">
        <v>61.6</v>
      </c>
      <c r="C93" s="13" t="s">
        <v>37</v>
      </c>
      <c r="D93" s="13" t="s">
        <v>38</v>
      </c>
      <c r="E93" s="13" t="s">
        <v>29</v>
      </c>
      <c r="F93" s="13" t="s">
        <v>130</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84F8-986C-4DE2-8A72-61DE7F8F882F}">
  <dimension ref="A1:P14"/>
  <sheetViews>
    <sheetView zoomScale="85" zoomScaleNormal="85" workbookViewId="0">
      <selection activeCell="A12" sqref="A12"/>
    </sheetView>
  </sheetViews>
  <sheetFormatPr defaultRowHeight="15"/>
  <cols>
    <col min="1" max="1" width="57.28515625" bestFit="1" customWidth="1"/>
    <col min="5" max="5" width="13.42578125" bestFit="1" customWidth="1"/>
    <col min="6" max="6" width="39.140625" bestFit="1" customWidth="1"/>
  </cols>
  <sheetData>
    <row r="1" spans="1:16" s="23" customFormat="1">
      <c r="A1" s="23" t="s">
        <v>3</v>
      </c>
      <c r="B1" s="23" t="s">
        <v>4</v>
      </c>
      <c r="D1" s="24"/>
    </row>
    <row r="2" spans="1:16" s="28" customFormat="1" ht="15.75">
      <c r="A2" s="25" t="s">
        <v>5</v>
      </c>
      <c r="B2" s="25" t="s">
        <v>204</v>
      </c>
      <c r="C2" s="25"/>
      <c r="D2" s="26"/>
      <c r="E2" s="27"/>
      <c r="F2" s="27"/>
      <c r="G2" s="27"/>
      <c r="H2" s="27"/>
      <c r="I2" s="27"/>
      <c r="J2" s="27"/>
      <c r="K2" s="27"/>
      <c r="L2" s="27"/>
      <c r="M2" s="27"/>
      <c r="N2" s="27"/>
      <c r="O2" s="27"/>
      <c r="P2" s="27"/>
    </row>
    <row r="3" spans="1:16">
      <c r="A3" s="29" t="s">
        <v>7</v>
      </c>
      <c r="B3" s="29" t="s">
        <v>480</v>
      </c>
      <c r="C3" s="29"/>
      <c r="D3" s="29"/>
      <c r="E3" s="29"/>
      <c r="F3" s="29"/>
      <c r="G3" s="29"/>
      <c r="H3" s="29"/>
      <c r="I3" s="29"/>
      <c r="J3" s="29"/>
      <c r="K3" s="29"/>
      <c r="L3" s="29"/>
      <c r="M3" s="29"/>
      <c r="N3" s="29"/>
      <c r="O3" s="29"/>
      <c r="P3" s="29"/>
    </row>
    <row r="4" spans="1:16">
      <c r="A4" s="29" t="s">
        <v>9</v>
      </c>
      <c r="B4" s="30" t="s">
        <v>481</v>
      </c>
      <c r="C4" s="29"/>
      <c r="D4" s="29"/>
      <c r="E4" s="29"/>
      <c r="F4" s="29"/>
      <c r="G4" s="29"/>
      <c r="H4" s="29"/>
      <c r="I4" s="29"/>
      <c r="J4" s="29"/>
      <c r="K4" s="29"/>
      <c r="L4" s="29"/>
      <c r="M4" s="29"/>
      <c r="N4" s="29"/>
      <c r="O4" s="29"/>
      <c r="P4" s="29"/>
    </row>
    <row r="5" spans="1:16">
      <c r="A5" s="29" t="s">
        <v>11</v>
      </c>
      <c r="B5" s="29" t="s">
        <v>482</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18</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Decomissioning of aircraft, conventional, Medium-Term</v>
      </c>
      <c r="B12" s="31">
        <v>1</v>
      </c>
      <c r="C12" s="31"/>
      <c r="D12" s="31" t="s">
        <v>18</v>
      </c>
      <c r="E12" s="29" t="s">
        <v>2</v>
      </c>
      <c r="F12" s="29" t="s">
        <v>480</v>
      </c>
      <c r="G12" s="31" t="s">
        <v>57</v>
      </c>
      <c r="H12" s="29" t="s">
        <v>30</v>
      </c>
      <c r="I12" s="29">
        <v>0</v>
      </c>
      <c r="J12" s="31" t="s">
        <v>31</v>
      </c>
      <c r="K12" s="31" t="s">
        <v>31</v>
      </c>
      <c r="L12" s="31" t="s">
        <v>31</v>
      </c>
      <c r="M12" s="31" t="s">
        <v>31</v>
      </c>
      <c r="N12" s="31" t="s">
        <v>31</v>
      </c>
      <c r="O12" s="31"/>
      <c r="P12" s="29"/>
    </row>
    <row r="13" spans="1:16">
      <c r="A13" t="str">
        <f>'powerplant EoL LCI'!A125</f>
        <v>treatment of powerplant, conventional, Medium-Term</v>
      </c>
      <c r="B13">
        <f>'powerplant EoL LCI'!B125</f>
        <v>1</v>
      </c>
      <c r="D13" t="str">
        <f>'powerplant EoL LCI'!D125</f>
        <v>unit</v>
      </c>
      <c r="E13" t="str">
        <f>'powerplant EoL LCI'!E125</f>
        <v>GENESIS_2040_conventional_PkBudg500</v>
      </c>
      <c r="F13" t="str">
        <f>'powerplant EoL LCI'!F125</f>
        <v>powerplant EoL, conventional, Medium-Term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Medium-Term</v>
      </c>
      <c r="B14">
        <f>'airframe EoL LCI'!B242</f>
        <v>1</v>
      </c>
      <c r="D14" t="str">
        <f>'airframe EoL LCI'!D242</f>
        <v>unit</v>
      </c>
      <c r="E14" t="str">
        <f>'airframe EoL LCI'!E242</f>
        <v>GENESIS_2040_conventional_PkBudg500</v>
      </c>
      <c r="F14" t="str">
        <f>'airframe EoL LCI'!F242</f>
        <v>airframe EoL, conventional, Medium-Term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53B1-833C-4ACF-834F-C255D5889402}">
  <dimension ref="A1:V135"/>
  <sheetViews>
    <sheetView workbookViewId="0">
      <selection activeCell="O8" sqref="O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8" customFormat="1" ht="15.75">
      <c r="A2" s="25" t="s">
        <v>5</v>
      </c>
      <c r="B2" s="25" t="s">
        <v>484</v>
      </c>
      <c r="C2" s="25"/>
      <c r="D2" s="26"/>
      <c r="E2" s="27"/>
      <c r="F2" s="27"/>
      <c r="G2" s="27"/>
      <c r="H2" s="27"/>
      <c r="I2" s="27"/>
      <c r="J2" s="27"/>
      <c r="K2" s="27"/>
      <c r="L2" s="27"/>
      <c r="M2" s="27"/>
      <c r="N2" s="27"/>
      <c r="O2" s="27"/>
      <c r="P2" s="27"/>
    </row>
    <row r="3" spans="1:22">
      <c r="A3" s="29" t="s">
        <v>7</v>
      </c>
      <c r="B3" s="29" t="s">
        <v>485</v>
      </c>
      <c r="C3" s="29"/>
      <c r="D3" s="29"/>
      <c r="E3" s="29"/>
      <c r="F3" s="29"/>
      <c r="G3" s="29"/>
      <c r="H3" s="29"/>
      <c r="I3" s="29"/>
      <c r="J3" s="29"/>
      <c r="K3" s="29"/>
      <c r="L3" s="29"/>
      <c r="M3" s="29"/>
      <c r="N3" s="29"/>
      <c r="O3" s="29"/>
      <c r="P3" s="29"/>
    </row>
    <row r="4" spans="1:22">
      <c r="A4" s="29" t="s">
        <v>9</v>
      </c>
      <c r="B4" s="30" t="s">
        <v>486</v>
      </c>
      <c r="C4" s="29"/>
      <c r="D4" s="29"/>
      <c r="E4" s="29"/>
      <c r="F4" s="29"/>
      <c r="G4" s="29"/>
      <c r="H4" s="29"/>
      <c r="I4" s="29"/>
      <c r="J4" s="29"/>
      <c r="K4" s="29"/>
      <c r="L4" s="29"/>
      <c r="M4" s="29"/>
      <c r="N4" s="29"/>
      <c r="O4" s="29"/>
      <c r="P4" s="29"/>
    </row>
    <row r="5" spans="1:22">
      <c r="A5" s="29" t="s">
        <v>11</v>
      </c>
      <c r="B5" s="29" t="s">
        <v>223</v>
      </c>
      <c r="C5" s="29"/>
      <c r="D5" s="29"/>
      <c r="E5" s="29"/>
      <c r="F5" s="29"/>
      <c r="G5" s="29"/>
      <c r="H5" s="29"/>
      <c r="I5" s="29"/>
      <c r="J5" s="29"/>
      <c r="K5" s="29"/>
      <c r="L5" s="29"/>
      <c r="M5" s="29"/>
      <c r="N5" s="29"/>
      <c r="O5" s="29"/>
      <c r="P5" s="29"/>
    </row>
    <row r="6" spans="1:22">
      <c r="A6" s="29" t="s">
        <v>13</v>
      </c>
      <c r="B6" s="29" t="s">
        <v>57</v>
      </c>
      <c r="C6" s="29"/>
      <c r="D6" s="29"/>
      <c r="E6" s="29"/>
      <c r="F6" s="29"/>
      <c r="G6" s="29"/>
      <c r="H6" s="29"/>
      <c r="I6" s="29"/>
      <c r="J6" s="29"/>
      <c r="K6" s="29"/>
      <c r="L6" s="29"/>
      <c r="M6" s="29"/>
      <c r="N6" s="29"/>
      <c r="O6" s="29"/>
      <c r="P6" s="29"/>
    </row>
    <row r="7" spans="1:22">
      <c r="A7" s="29" t="s">
        <v>15</v>
      </c>
      <c r="B7" s="29">
        <v>1</v>
      </c>
      <c r="C7" s="29"/>
      <c r="D7" s="29"/>
      <c r="E7" s="29"/>
      <c r="F7" s="29"/>
      <c r="G7" s="29"/>
      <c r="H7" s="29"/>
      <c r="I7" s="29"/>
      <c r="J7" s="29"/>
      <c r="K7" s="29"/>
      <c r="L7" s="29"/>
      <c r="M7" s="29"/>
      <c r="N7" s="29"/>
      <c r="O7" s="29"/>
      <c r="P7" s="29"/>
    </row>
    <row r="8" spans="1:22">
      <c r="A8" s="29" t="s">
        <v>16</v>
      </c>
      <c r="B8" s="29" t="s">
        <v>17</v>
      </c>
      <c r="C8" s="29"/>
      <c r="D8" s="29"/>
      <c r="E8" s="29"/>
      <c r="F8" s="29"/>
      <c r="G8" s="29"/>
      <c r="H8" s="29"/>
      <c r="I8" s="29"/>
      <c r="J8" s="29"/>
      <c r="K8" s="29"/>
      <c r="L8" s="29"/>
      <c r="M8" s="29"/>
      <c r="N8" s="29"/>
      <c r="O8" s="29"/>
      <c r="P8" s="29"/>
    </row>
    <row r="9" spans="1:22" ht="15.75">
      <c r="A9" s="29" t="s">
        <v>18</v>
      </c>
      <c r="B9" s="31" t="s">
        <v>37</v>
      </c>
      <c r="C9" s="29"/>
      <c r="D9" s="29"/>
      <c r="E9" s="29" t="s">
        <v>226</v>
      </c>
      <c r="F9" s="29"/>
      <c r="G9" s="29"/>
      <c r="H9" s="29"/>
      <c r="I9" s="29"/>
      <c r="J9" s="29"/>
      <c r="K9" s="29"/>
      <c r="L9" s="29"/>
      <c r="M9" s="29"/>
      <c r="N9" s="29"/>
      <c r="O9" s="29"/>
      <c r="P9" s="29"/>
    </row>
    <row r="10" spans="1:22" ht="15.75">
      <c r="A10" s="32" t="s">
        <v>19</v>
      </c>
      <c r="B10" s="29"/>
      <c r="C10" s="29"/>
      <c r="D10" s="29"/>
      <c r="E10" s="29"/>
      <c r="F10" s="29"/>
      <c r="G10" s="29"/>
      <c r="H10" s="29"/>
      <c r="I10" s="29"/>
      <c r="J10" s="29"/>
      <c r="K10" s="29"/>
      <c r="L10" s="29"/>
      <c r="M10" s="29"/>
      <c r="N10" s="29"/>
      <c r="O10" s="29"/>
      <c r="P10" s="29"/>
    </row>
    <row r="11" spans="1:22"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22" ht="15.75">
      <c r="A12" s="31" t="str">
        <f>B2</f>
        <v>treatment of titanium,powerplant, conventional, Medium-Term</v>
      </c>
      <c r="B12" s="31">
        <v>1</v>
      </c>
      <c r="C12" s="31"/>
      <c r="D12" s="31" t="s">
        <v>37</v>
      </c>
      <c r="E12" s="29" t="s">
        <v>2</v>
      </c>
      <c r="F12" s="29" t="s">
        <v>485</v>
      </c>
      <c r="G12" s="31" t="s">
        <v>57</v>
      </c>
      <c r="H12" s="29" t="s">
        <v>30</v>
      </c>
      <c r="I12" s="29">
        <v>0</v>
      </c>
      <c r="J12" s="31" t="s">
        <v>31</v>
      </c>
      <c r="K12" s="31" t="s">
        <v>31</v>
      </c>
      <c r="L12" s="31" t="s">
        <v>31</v>
      </c>
      <c r="M12" s="31" t="s">
        <v>31</v>
      </c>
      <c r="N12" s="31" t="s">
        <v>31</v>
      </c>
      <c r="O12" s="29"/>
      <c r="P12" s="29" t="s">
        <v>487</v>
      </c>
    </row>
    <row r="13" spans="1:22">
      <c r="A13" t="s">
        <v>77</v>
      </c>
      <c r="B13">
        <f>U13</f>
        <v>9.5000076</v>
      </c>
      <c r="D13" t="s">
        <v>78</v>
      </c>
      <c r="E13" t="s">
        <v>38</v>
      </c>
      <c r="F13" s="29" t="s">
        <v>485</v>
      </c>
      <c r="G13" t="s">
        <v>57</v>
      </c>
      <c r="H13" t="s">
        <v>33</v>
      </c>
      <c r="I13">
        <v>2</v>
      </c>
      <c r="J13">
        <v>9.398101209</v>
      </c>
      <c r="K13">
        <v>0.30331501799999999</v>
      </c>
      <c r="L13" t="s">
        <v>31</v>
      </c>
      <c r="M13" t="s">
        <v>31</v>
      </c>
      <c r="N13" t="s">
        <v>31</v>
      </c>
      <c r="O13" t="s">
        <v>264</v>
      </c>
      <c r="P13" t="s">
        <v>488</v>
      </c>
      <c r="Q13" t="s">
        <v>222</v>
      </c>
      <c r="R13" s="23" t="s">
        <v>272</v>
      </c>
      <c r="S13" s="23">
        <f>114*0.6*0.5</f>
        <v>34.199999999999996</v>
      </c>
      <c r="T13" s="23" t="s">
        <v>237</v>
      </c>
      <c r="U13" s="23">
        <f>S13*0.277778</f>
        <v>9.5000076</v>
      </c>
      <c r="V13" s="23" t="s">
        <v>236</v>
      </c>
    </row>
    <row r="14" spans="1:22">
      <c r="A14" t="s">
        <v>80</v>
      </c>
      <c r="B14">
        <f>U14</f>
        <v>0.59530026109660583</v>
      </c>
      <c r="D14" t="s">
        <v>48</v>
      </c>
      <c r="E14" t="s">
        <v>38</v>
      </c>
      <c r="F14" s="29" t="s">
        <v>485</v>
      </c>
      <c r="G14" t="s">
        <v>235</v>
      </c>
      <c r="H14" t="s">
        <v>33</v>
      </c>
      <c r="I14">
        <v>2</v>
      </c>
      <c r="J14">
        <v>6.6281192500000001</v>
      </c>
      <c r="K14">
        <v>0.30331501799999999</v>
      </c>
      <c r="L14" t="s">
        <v>31</v>
      </c>
      <c r="M14" t="s">
        <v>31</v>
      </c>
      <c r="N14" t="s">
        <v>31</v>
      </c>
      <c r="O14" t="s">
        <v>264</v>
      </c>
      <c r="P14" t="s">
        <v>488</v>
      </c>
      <c r="Q14" t="s">
        <v>222</v>
      </c>
      <c r="R14" s="23" t="s">
        <v>274</v>
      </c>
      <c r="S14" s="23">
        <f>114*0.4*0.5</f>
        <v>22.8</v>
      </c>
      <c r="T14" s="23" t="s">
        <v>237</v>
      </c>
      <c r="U14" s="23">
        <f>S14/38.3</f>
        <v>0.59530026109660583</v>
      </c>
      <c r="V14" s="23" t="s">
        <v>238</v>
      </c>
    </row>
    <row r="15" spans="1:22">
      <c r="A15" s="33" t="s">
        <v>255</v>
      </c>
      <c r="B15" s="34">
        <f>S15</f>
        <v>0.5</v>
      </c>
      <c r="C15" s="34"/>
      <c r="D15" s="23" t="s">
        <v>37</v>
      </c>
      <c r="E15" s="23" t="s">
        <v>38</v>
      </c>
      <c r="F15" s="29" t="s">
        <v>485</v>
      </c>
      <c r="G15" s="23" t="s">
        <v>57</v>
      </c>
      <c r="H15" s="23" t="s">
        <v>269</v>
      </c>
      <c r="I15" s="23">
        <v>2</v>
      </c>
      <c r="J15" s="23">
        <f t="shared" ref="J15" si="0">LN(B15)</f>
        <v>-0.69314718055994529</v>
      </c>
      <c r="K15" s="23">
        <v>0.30331501776206199</v>
      </c>
      <c r="L15" s="23" t="s">
        <v>31</v>
      </c>
      <c r="M15" s="23" t="s">
        <v>31</v>
      </c>
      <c r="N15" s="23" t="s">
        <v>31</v>
      </c>
      <c r="O15" s="23" t="s">
        <v>264</v>
      </c>
      <c r="P15" t="s">
        <v>488</v>
      </c>
      <c r="Q15" s="23" t="s">
        <v>222</v>
      </c>
      <c r="R15" s="23"/>
      <c r="S15" s="23">
        <v>0.5</v>
      </c>
      <c r="T15" s="23" t="s">
        <v>240</v>
      </c>
    </row>
    <row r="16" spans="1:22" ht="15.75">
      <c r="A16" t="s">
        <v>489</v>
      </c>
      <c r="B16" s="22">
        <f>-0.5</f>
        <v>-0.5</v>
      </c>
      <c r="D16" t="s">
        <v>37</v>
      </c>
      <c r="E16" s="35" t="s">
        <v>38</v>
      </c>
      <c r="F16" s="29" t="s">
        <v>485</v>
      </c>
      <c r="G16" t="s">
        <v>57</v>
      </c>
      <c r="H16" t="s">
        <v>33</v>
      </c>
      <c r="I16">
        <v>0</v>
      </c>
      <c r="J16" t="s">
        <v>31</v>
      </c>
      <c r="K16" t="s">
        <v>31</v>
      </c>
      <c r="L16" t="s">
        <v>31</v>
      </c>
      <c r="M16" t="s">
        <v>31</v>
      </c>
      <c r="N16" t="s">
        <v>31</v>
      </c>
      <c r="O16" s="17"/>
      <c r="P16" s="29" t="s">
        <v>490</v>
      </c>
    </row>
    <row r="17" spans="1:17" s="28" customFormat="1" ht="15.75">
      <c r="A17" s="25" t="s">
        <v>5</v>
      </c>
      <c r="B17" s="25" t="s">
        <v>491</v>
      </c>
      <c r="C17" s="25"/>
      <c r="D17" s="26"/>
      <c r="E17" s="27"/>
      <c r="F17" s="27"/>
      <c r="G17" s="27"/>
      <c r="H17" s="27"/>
      <c r="I17" s="27"/>
      <c r="J17" s="27"/>
      <c r="K17" s="27"/>
      <c r="L17" s="27"/>
      <c r="M17" s="27"/>
      <c r="N17" s="27"/>
      <c r="O17" s="27"/>
      <c r="P17" s="27"/>
    </row>
    <row r="18" spans="1:17">
      <c r="A18" s="29" t="s">
        <v>7</v>
      </c>
      <c r="B18" s="29" t="s">
        <v>485</v>
      </c>
      <c r="C18" s="29"/>
      <c r="D18" s="29"/>
      <c r="E18" s="29"/>
      <c r="F18" s="29"/>
      <c r="G18" s="29"/>
      <c r="H18" s="29"/>
      <c r="I18" s="29"/>
      <c r="J18" s="29"/>
      <c r="K18" s="29"/>
      <c r="L18" s="29"/>
      <c r="M18" s="29"/>
      <c r="N18" s="29"/>
      <c r="O18" s="29"/>
      <c r="P18" s="29"/>
    </row>
    <row r="19" spans="1:17">
      <c r="A19" s="29" t="s">
        <v>9</v>
      </c>
      <c r="B19" s="30" t="s">
        <v>492</v>
      </c>
      <c r="C19" s="29"/>
      <c r="D19" s="29"/>
      <c r="E19" s="29"/>
      <c r="F19" s="29"/>
      <c r="G19" s="29"/>
      <c r="H19" s="29"/>
      <c r="I19" s="29"/>
      <c r="J19" s="29"/>
      <c r="K19" s="29"/>
      <c r="L19" s="29"/>
      <c r="M19" s="29"/>
      <c r="N19" s="29"/>
      <c r="O19" s="29"/>
      <c r="P19" s="29"/>
    </row>
    <row r="20" spans="1:17">
      <c r="A20" s="29" t="s">
        <v>11</v>
      </c>
      <c r="B20" s="29" t="s">
        <v>223</v>
      </c>
      <c r="C20" s="29"/>
      <c r="D20" s="29"/>
      <c r="E20" s="29"/>
      <c r="F20" s="29"/>
      <c r="G20" s="29"/>
      <c r="H20" s="29"/>
      <c r="I20" s="29"/>
      <c r="J20" s="29"/>
      <c r="K20" s="29"/>
      <c r="L20" s="29"/>
      <c r="M20" s="29"/>
      <c r="N20" s="29"/>
      <c r="O20" s="29"/>
      <c r="P20" s="29"/>
    </row>
    <row r="21" spans="1:17">
      <c r="A21" s="29" t="s">
        <v>13</v>
      </c>
      <c r="B21" s="29" t="s">
        <v>57</v>
      </c>
      <c r="C21" s="29"/>
      <c r="D21" s="29"/>
      <c r="E21" s="29"/>
      <c r="F21" s="29"/>
      <c r="G21" s="29"/>
      <c r="H21" s="29"/>
      <c r="I21" s="29"/>
      <c r="J21" s="29"/>
      <c r="K21" s="29"/>
      <c r="L21" s="29"/>
      <c r="M21" s="29"/>
      <c r="N21" s="29"/>
      <c r="O21" s="29"/>
      <c r="P21" s="29"/>
    </row>
    <row r="22" spans="1:17">
      <c r="A22" s="29" t="s">
        <v>15</v>
      </c>
      <c r="B22" s="29">
        <v>1</v>
      </c>
      <c r="C22" s="29"/>
      <c r="D22" s="29"/>
      <c r="E22" s="29"/>
      <c r="F22" s="29"/>
      <c r="G22" s="29"/>
      <c r="H22" s="29"/>
      <c r="I22" s="29"/>
      <c r="J22" s="29"/>
      <c r="K22" s="29"/>
      <c r="L22" s="29"/>
      <c r="M22" s="29"/>
      <c r="N22" s="29"/>
      <c r="O22" s="29"/>
      <c r="P22" s="29"/>
    </row>
    <row r="23" spans="1:17">
      <c r="A23" s="29" t="s">
        <v>16</v>
      </c>
      <c r="B23" s="29" t="s">
        <v>17</v>
      </c>
      <c r="C23" s="29"/>
      <c r="D23" s="29"/>
      <c r="E23" s="29"/>
      <c r="F23" s="29"/>
      <c r="G23" s="29"/>
      <c r="H23" s="29"/>
      <c r="I23" s="29"/>
      <c r="J23" s="29"/>
      <c r="K23" s="29"/>
      <c r="L23" s="29"/>
      <c r="M23" s="29"/>
      <c r="N23" s="29"/>
      <c r="O23" s="29"/>
      <c r="P23" s="29"/>
    </row>
    <row r="24" spans="1:17" ht="15.75">
      <c r="A24" s="29" t="s">
        <v>18</v>
      </c>
      <c r="B24" s="31" t="s">
        <v>37</v>
      </c>
      <c r="C24" s="29"/>
      <c r="D24" s="29"/>
      <c r="E24" s="29" t="s">
        <v>226</v>
      </c>
      <c r="F24" s="29"/>
      <c r="G24" s="29"/>
      <c r="H24" s="29"/>
      <c r="I24" s="29"/>
      <c r="J24" s="29"/>
      <c r="K24" s="29"/>
      <c r="L24" s="29"/>
      <c r="M24" s="29"/>
      <c r="N24" s="29"/>
      <c r="O24" s="29"/>
      <c r="P24" s="29"/>
    </row>
    <row r="25" spans="1:17" ht="15.75">
      <c r="A25" s="32" t="s">
        <v>19</v>
      </c>
      <c r="B25" s="29"/>
      <c r="C25" s="29"/>
      <c r="D25" s="29"/>
      <c r="E25" s="29"/>
      <c r="F25" s="29"/>
      <c r="G25" s="29"/>
      <c r="H25" s="29"/>
      <c r="I25" s="29"/>
      <c r="J25" s="29"/>
      <c r="K25" s="29"/>
      <c r="L25" s="29"/>
      <c r="M25" s="29"/>
      <c r="N25" s="29"/>
      <c r="O25" s="29"/>
      <c r="P25" s="29"/>
    </row>
    <row r="26" spans="1:17"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7" ht="15.75">
      <c r="A27" s="31" t="str">
        <f>B17</f>
        <v>treatment of CFRP,powerplant, conventional, Medium-Term</v>
      </c>
      <c r="B27" s="31">
        <v>1</v>
      </c>
      <c r="C27" s="31"/>
      <c r="D27" s="31" t="s">
        <v>37</v>
      </c>
      <c r="E27" s="29" t="s">
        <v>2</v>
      </c>
      <c r="F27" s="29" t="s">
        <v>485</v>
      </c>
      <c r="G27" s="31" t="s">
        <v>57</v>
      </c>
      <c r="H27" s="29" t="s">
        <v>30</v>
      </c>
      <c r="I27" s="29">
        <v>0</v>
      </c>
      <c r="J27" s="31" t="s">
        <v>31</v>
      </c>
      <c r="K27" s="31" t="s">
        <v>31</v>
      </c>
      <c r="L27" s="31" t="s">
        <v>31</v>
      </c>
      <c r="M27" s="31" t="s">
        <v>31</v>
      </c>
      <c r="N27" s="31" t="s">
        <v>31</v>
      </c>
      <c r="O27" s="29" t="s">
        <v>487</v>
      </c>
    </row>
    <row r="28" spans="1:17" ht="15.75">
      <c r="A28" s="35" t="s">
        <v>493</v>
      </c>
      <c r="B28">
        <v>-0.5</v>
      </c>
      <c r="D28" t="s">
        <v>37</v>
      </c>
      <c r="E28" s="36" t="s">
        <v>38</v>
      </c>
      <c r="F28" s="29" t="s">
        <v>485</v>
      </c>
      <c r="G28" t="s">
        <v>130</v>
      </c>
      <c r="H28" t="s">
        <v>33</v>
      </c>
      <c r="I28" s="29">
        <v>0</v>
      </c>
      <c r="J28" s="31" t="s">
        <v>31</v>
      </c>
      <c r="K28" s="31" t="s">
        <v>31</v>
      </c>
      <c r="L28" s="31" t="s">
        <v>31</v>
      </c>
      <c r="M28" s="31" t="s">
        <v>31</v>
      </c>
      <c r="N28" s="31" t="s">
        <v>31</v>
      </c>
      <c r="O28" s="29" t="s">
        <v>494</v>
      </c>
      <c r="P28" s="31" t="s">
        <v>495</v>
      </c>
      <c r="Q28" s="31" t="s">
        <v>496</v>
      </c>
    </row>
    <row r="29" spans="1:17" ht="15.75">
      <c r="A29" t="s">
        <v>399</v>
      </c>
      <c r="B29">
        <f>B30*0.277777777</f>
        <v>2.415277771015</v>
      </c>
      <c r="D29" t="s">
        <v>78</v>
      </c>
      <c r="E29" s="36" t="s">
        <v>38</v>
      </c>
      <c r="F29" s="29" t="s">
        <v>485</v>
      </c>
      <c r="G29" t="s">
        <v>57</v>
      </c>
      <c r="H29" s="29" t="s">
        <v>269</v>
      </c>
      <c r="I29" s="29">
        <v>0</v>
      </c>
      <c r="J29" s="31" t="s">
        <v>31</v>
      </c>
      <c r="K29" s="31" t="s">
        <v>31</v>
      </c>
      <c r="L29" s="31" t="s">
        <v>31</v>
      </c>
      <c r="M29" s="31" t="s">
        <v>31</v>
      </c>
      <c r="N29" s="31" t="s">
        <v>31</v>
      </c>
      <c r="O29" t="s">
        <v>497</v>
      </c>
    </row>
    <row r="30" spans="1:17" ht="15.75">
      <c r="A30" t="s">
        <v>239</v>
      </c>
      <c r="B30">
        <f>-B28*0.5*34.78</f>
        <v>8.6950000000000003</v>
      </c>
      <c r="D30" t="s">
        <v>172</v>
      </c>
      <c r="E30" s="36" t="s">
        <v>38</v>
      </c>
      <c r="F30" s="29" t="s">
        <v>485</v>
      </c>
      <c r="G30" t="s">
        <v>57</v>
      </c>
      <c r="H30" s="29" t="s">
        <v>269</v>
      </c>
      <c r="I30" s="29">
        <v>0</v>
      </c>
      <c r="J30" s="31" t="s">
        <v>31</v>
      </c>
      <c r="K30" s="31" t="s">
        <v>31</v>
      </c>
      <c r="L30" s="31" t="s">
        <v>31</v>
      </c>
      <c r="M30" s="31" t="s">
        <v>31</v>
      </c>
      <c r="N30" s="31" t="s">
        <v>31</v>
      </c>
      <c r="O30" t="s">
        <v>498</v>
      </c>
    </row>
    <row r="31" spans="1:17" ht="15.75">
      <c r="A31" s="35" t="s">
        <v>499</v>
      </c>
      <c r="B31">
        <f>B28</f>
        <v>-0.5</v>
      </c>
      <c r="D31" t="s">
        <v>37</v>
      </c>
      <c r="E31" s="36" t="s">
        <v>38</v>
      </c>
      <c r="F31" s="29" t="s">
        <v>485</v>
      </c>
      <c r="G31" t="s">
        <v>130</v>
      </c>
      <c r="H31" s="29" t="s">
        <v>33</v>
      </c>
      <c r="I31" s="29">
        <v>0</v>
      </c>
      <c r="J31" s="31" t="s">
        <v>31</v>
      </c>
      <c r="K31" s="31" t="s">
        <v>31</v>
      </c>
      <c r="L31" s="31" t="s">
        <v>31</v>
      </c>
      <c r="M31" s="31" t="s">
        <v>31</v>
      </c>
      <c r="N31" s="31" t="s">
        <v>31</v>
      </c>
      <c r="O31" s="31" t="s">
        <v>500</v>
      </c>
    </row>
    <row r="32" spans="1:17" s="28" customFormat="1" ht="15.75">
      <c r="A32" s="25" t="s">
        <v>5</v>
      </c>
      <c r="B32" s="25" t="s">
        <v>501</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502</v>
      </c>
      <c r="C34" s="29"/>
      <c r="D34" s="29"/>
      <c r="E34" s="29"/>
      <c r="F34" s="29"/>
      <c r="G34" s="29"/>
      <c r="H34" s="29"/>
      <c r="I34" s="29"/>
      <c r="J34" s="29"/>
      <c r="K34" s="29"/>
      <c r="L34" s="29"/>
      <c r="M34" s="29"/>
      <c r="N34" s="29"/>
      <c r="O34" s="29"/>
      <c r="P34" s="29"/>
    </row>
    <row r="35" spans="1:16">
      <c r="A35" s="29" t="s">
        <v>11</v>
      </c>
      <c r="B35" s="29" t="s">
        <v>223</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aluminium,powerplant, conventional, Medium-Term</v>
      </c>
      <c r="B42" s="31">
        <v>1</v>
      </c>
      <c r="C42" s="31"/>
      <c r="D42" s="31" t="s">
        <v>37</v>
      </c>
      <c r="E42" s="29" t="s">
        <v>2</v>
      </c>
      <c r="F42" s="29" t="s">
        <v>485</v>
      </c>
      <c r="G42" s="31" t="s">
        <v>57</v>
      </c>
      <c r="H42" s="29" t="s">
        <v>30</v>
      </c>
      <c r="I42" s="29">
        <v>0</v>
      </c>
      <c r="J42" s="31" t="s">
        <v>31</v>
      </c>
      <c r="K42" s="31" t="s">
        <v>31</v>
      </c>
      <c r="L42" s="31" t="s">
        <v>31</v>
      </c>
      <c r="M42" s="31" t="s">
        <v>31</v>
      </c>
      <c r="N42" s="31" t="s">
        <v>31</v>
      </c>
      <c r="O42" s="29" t="s">
        <v>503</v>
      </c>
    </row>
    <row r="43" spans="1:16" ht="15.75">
      <c r="A43" t="s">
        <v>263</v>
      </c>
      <c r="B43" s="22">
        <v>0.75</v>
      </c>
      <c r="C43" s="31"/>
      <c r="D43" s="31" t="s">
        <v>37</v>
      </c>
      <c r="E43" s="37" t="s">
        <v>38</v>
      </c>
      <c r="F43" s="29" t="s">
        <v>485</v>
      </c>
      <c r="G43" s="31" t="s">
        <v>130</v>
      </c>
      <c r="H43" s="29" t="s">
        <v>33</v>
      </c>
      <c r="I43" s="29">
        <v>0</v>
      </c>
      <c r="J43" s="31" t="s">
        <v>31</v>
      </c>
      <c r="K43" s="31" t="s">
        <v>31</v>
      </c>
      <c r="L43" s="31" t="s">
        <v>31</v>
      </c>
      <c r="M43" s="31" t="s">
        <v>31</v>
      </c>
      <c r="N43" s="31" t="s">
        <v>31</v>
      </c>
      <c r="O43" s="29" t="s">
        <v>504</v>
      </c>
      <c r="P43" s="29"/>
    </row>
    <row r="44" spans="1:16" ht="15.75">
      <c r="A44" t="s">
        <v>266</v>
      </c>
      <c r="B44" s="22">
        <v>0.75</v>
      </c>
      <c r="C44" s="23" t="s">
        <v>267</v>
      </c>
      <c r="D44" t="s">
        <v>37</v>
      </c>
      <c r="E44" s="36" t="s">
        <v>38</v>
      </c>
      <c r="F44" s="29" t="s">
        <v>485</v>
      </c>
      <c r="G44" s="31" t="s">
        <v>130</v>
      </c>
      <c r="H44" s="29" t="s">
        <v>33</v>
      </c>
      <c r="I44" s="29">
        <v>0</v>
      </c>
      <c r="J44" s="31" t="s">
        <v>31</v>
      </c>
      <c r="K44" s="31" t="s">
        <v>31</v>
      </c>
      <c r="L44" s="31" t="s">
        <v>31</v>
      </c>
      <c r="M44" s="31" t="s">
        <v>31</v>
      </c>
      <c r="N44" s="31" t="s">
        <v>31</v>
      </c>
      <c r="O44" s="31" t="s">
        <v>505</v>
      </c>
    </row>
    <row r="45" spans="1:16" ht="15.75">
      <c r="A45" t="s">
        <v>359</v>
      </c>
      <c r="B45" s="22">
        <v>0.75</v>
      </c>
      <c r="D45" t="s">
        <v>37</v>
      </c>
      <c r="E45" s="36" t="s">
        <v>38</v>
      </c>
      <c r="F45" s="29" t="s">
        <v>485</v>
      </c>
      <c r="G45" t="s">
        <v>57</v>
      </c>
      <c r="H45" s="29" t="s">
        <v>269</v>
      </c>
      <c r="I45" s="29">
        <v>0</v>
      </c>
      <c r="J45" s="31" t="s">
        <v>31</v>
      </c>
      <c r="K45" s="31" t="s">
        <v>31</v>
      </c>
      <c r="L45" s="31" t="s">
        <v>31</v>
      </c>
      <c r="M45" s="31" t="s">
        <v>31</v>
      </c>
      <c r="N45" s="31" t="s">
        <v>31</v>
      </c>
      <c r="O45" s="29"/>
    </row>
    <row r="46" spans="1:16" ht="15.75">
      <c r="A46" t="s">
        <v>489</v>
      </c>
      <c r="B46" s="22">
        <f>-0.25</f>
        <v>-0.25</v>
      </c>
      <c r="D46" t="s">
        <v>37</v>
      </c>
      <c r="E46" s="35" t="s">
        <v>38</v>
      </c>
      <c r="F46" s="29" t="s">
        <v>485</v>
      </c>
      <c r="G46" t="s">
        <v>57</v>
      </c>
      <c r="H46" t="s">
        <v>33</v>
      </c>
      <c r="I46">
        <v>0</v>
      </c>
      <c r="J46" t="s">
        <v>31</v>
      </c>
      <c r="K46" t="s">
        <v>31</v>
      </c>
      <c r="L46" t="s">
        <v>31</v>
      </c>
      <c r="M46" t="s">
        <v>31</v>
      </c>
      <c r="N46" t="s">
        <v>31</v>
      </c>
      <c r="O46" s="17"/>
      <c r="P46" s="29"/>
    </row>
    <row r="47" spans="1:16" s="28" customFormat="1" ht="15.75">
      <c r="A47" s="25" t="s">
        <v>5</v>
      </c>
      <c r="B47" s="25" t="s">
        <v>506</v>
      </c>
      <c r="C47" s="25"/>
      <c r="D47" s="26"/>
      <c r="E47" s="27"/>
      <c r="F47" s="27"/>
      <c r="G47" s="27"/>
      <c r="H47" s="27"/>
      <c r="I47" s="27"/>
      <c r="J47" s="27"/>
      <c r="K47" s="27"/>
      <c r="L47" s="27"/>
      <c r="M47" s="27"/>
      <c r="N47" s="27"/>
      <c r="O47" s="27"/>
      <c r="P47" s="27"/>
    </row>
    <row r="48" spans="1:16">
      <c r="A48" s="29" t="s">
        <v>7</v>
      </c>
      <c r="B48" s="29" t="s">
        <v>485</v>
      </c>
      <c r="C48" s="29"/>
      <c r="D48" s="29"/>
      <c r="E48" s="29"/>
      <c r="F48" s="29"/>
      <c r="G48" s="29"/>
      <c r="H48" s="29"/>
      <c r="I48" s="29"/>
      <c r="J48" s="29"/>
      <c r="K48" s="29"/>
      <c r="L48" s="29"/>
      <c r="M48" s="29"/>
      <c r="N48" s="29"/>
      <c r="O48" s="29"/>
      <c r="P48" s="29"/>
    </row>
    <row r="49" spans="1:17">
      <c r="A49" s="29" t="s">
        <v>9</v>
      </c>
      <c r="B49" s="30" t="s">
        <v>507</v>
      </c>
      <c r="C49" s="29"/>
      <c r="D49" s="29"/>
      <c r="E49" s="29"/>
      <c r="F49" s="29"/>
      <c r="G49" s="29"/>
      <c r="H49" s="29"/>
      <c r="I49" s="29"/>
      <c r="J49" s="29"/>
      <c r="K49" s="29"/>
      <c r="L49" s="29"/>
      <c r="M49" s="29"/>
      <c r="N49" s="29"/>
      <c r="O49" s="29"/>
      <c r="P49" s="29"/>
    </row>
    <row r="50" spans="1:17">
      <c r="A50" s="29" t="s">
        <v>11</v>
      </c>
      <c r="B50" s="29" t="s">
        <v>223</v>
      </c>
      <c r="C50" s="29"/>
      <c r="D50" s="29"/>
      <c r="E50" s="29"/>
      <c r="F50" s="29"/>
      <c r="G50" s="29"/>
      <c r="H50" s="29"/>
      <c r="I50" s="29"/>
      <c r="J50" s="29"/>
      <c r="K50" s="29"/>
      <c r="L50" s="29"/>
      <c r="M50" s="29"/>
      <c r="N50" s="29"/>
      <c r="O50" s="29"/>
      <c r="P50" s="29"/>
    </row>
    <row r="51" spans="1:17">
      <c r="A51" s="29" t="s">
        <v>13</v>
      </c>
      <c r="B51" s="29" t="s">
        <v>57</v>
      </c>
      <c r="C51" s="29"/>
      <c r="D51" s="29"/>
      <c r="E51" s="29"/>
      <c r="F51" s="29"/>
      <c r="G51" s="29"/>
      <c r="H51" s="29"/>
      <c r="I51" s="29"/>
      <c r="J51" s="29"/>
      <c r="K51" s="29"/>
      <c r="L51" s="29"/>
      <c r="M51" s="29"/>
      <c r="N51" s="29"/>
      <c r="O51" s="29"/>
      <c r="P51" s="29"/>
    </row>
    <row r="52" spans="1:17">
      <c r="A52" s="29" t="s">
        <v>15</v>
      </c>
      <c r="B52" s="29">
        <v>1</v>
      </c>
      <c r="C52" s="29"/>
      <c r="D52" s="29"/>
      <c r="E52" s="29"/>
      <c r="F52" s="29"/>
      <c r="G52" s="29"/>
      <c r="H52" s="29"/>
      <c r="I52" s="29"/>
      <c r="J52" s="29"/>
      <c r="K52" s="29"/>
      <c r="L52" s="29"/>
      <c r="M52" s="29"/>
      <c r="N52" s="29"/>
      <c r="O52" s="29"/>
      <c r="P52" s="29"/>
    </row>
    <row r="53" spans="1:17">
      <c r="A53" s="29" t="s">
        <v>16</v>
      </c>
      <c r="B53" s="29" t="s">
        <v>17</v>
      </c>
      <c r="C53" s="29"/>
      <c r="D53" s="29"/>
      <c r="E53" s="29"/>
      <c r="F53" s="29"/>
      <c r="G53" s="29"/>
      <c r="H53" s="29"/>
      <c r="I53" s="29"/>
      <c r="J53" s="29"/>
      <c r="K53" s="29"/>
      <c r="L53" s="29"/>
      <c r="M53" s="29"/>
      <c r="N53" s="29"/>
      <c r="O53" s="29"/>
      <c r="P53" s="29"/>
    </row>
    <row r="54" spans="1:17" ht="15.75">
      <c r="A54" s="29" t="s">
        <v>18</v>
      </c>
      <c r="B54" s="31" t="s">
        <v>37</v>
      </c>
      <c r="C54" s="29"/>
      <c r="D54" s="29"/>
      <c r="E54" s="29" t="s">
        <v>226</v>
      </c>
      <c r="F54" s="29"/>
      <c r="G54" s="29"/>
      <c r="H54" s="29"/>
      <c r="I54" s="29"/>
      <c r="J54" s="29"/>
      <c r="K54" s="29"/>
      <c r="L54" s="29"/>
      <c r="M54" s="29"/>
      <c r="N54" s="29"/>
      <c r="O54" s="29"/>
      <c r="P54" s="29"/>
    </row>
    <row r="55" spans="1:17" ht="15.75">
      <c r="A55" s="32" t="s">
        <v>19</v>
      </c>
      <c r="B55" s="29"/>
      <c r="C55" s="29"/>
      <c r="D55" s="29"/>
      <c r="E55" s="29"/>
      <c r="F55" s="29"/>
      <c r="G55" s="29"/>
      <c r="H55" s="29"/>
      <c r="I55" s="29"/>
      <c r="J55" s="29"/>
      <c r="K55" s="29"/>
      <c r="L55" s="29"/>
      <c r="M55" s="29"/>
      <c r="N55" s="29"/>
      <c r="O55" s="29"/>
      <c r="P55" s="29"/>
    </row>
    <row r="56" spans="1:17" ht="15.75">
      <c r="A56" s="32" t="s">
        <v>20</v>
      </c>
      <c r="B56" s="32" t="s">
        <v>21</v>
      </c>
      <c r="C56" s="32" t="s">
        <v>209</v>
      </c>
      <c r="D56" s="32" t="s">
        <v>18</v>
      </c>
      <c r="E56" s="32" t="s">
        <v>22</v>
      </c>
      <c r="F56" s="32" t="s">
        <v>7</v>
      </c>
      <c r="G56" s="32" t="s">
        <v>13</v>
      </c>
      <c r="H56" s="32" t="s">
        <v>16</v>
      </c>
      <c r="I56" s="32" t="s">
        <v>23</v>
      </c>
      <c r="J56" s="32" t="s">
        <v>24</v>
      </c>
      <c r="K56" s="32" t="s">
        <v>25</v>
      </c>
      <c r="L56" s="32" t="s">
        <v>26</v>
      </c>
      <c r="M56" s="32" t="s">
        <v>27</v>
      </c>
      <c r="N56" s="32" t="s">
        <v>28</v>
      </c>
      <c r="O56" s="32" t="s">
        <v>11</v>
      </c>
      <c r="P56" s="32" t="s">
        <v>483</v>
      </c>
    </row>
    <row r="57" spans="1:17" ht="15.75">
      <c r="A57" s="31" t="str">
        <f>B47</f>
        <v>treatment of iron-nickel chromium alloy,powerplant, conventional, Medium-Term</v>
      </c>
      <c r="B57" s="31">
        <v>1</v>
      </c>
      <c r="C57" s="31"/>
      <c r="D57" s="31" t="s">
        <v>37</v>
      </c>
      <c r="E57" s="29" t="s">
        <v>2</v>
      </c>
      <c r="F57" s="29" t="s">
        <v>485</v>
      </c>
      <c r="G57" s="31" t="s">
        <v>57</v>
      </c>
      <c r="H57" s="29" t="s">
        <v>30</v>
      </c>
      <c r="I57" s="29">
        <v>0</v>
      </c>
      <c r="J57" s="31" t="s">
        <v>31</v>
      </c>
      <c r="K57" s="31" t="s">
        <v>31</v>
      </c>
      <c r="L57" s="31" t="s">
        <v>31</v>
      </c>
      <c r="M57" s="31" t="s">
        <v>31</v>
      </c>
      <c r="N57" s="31" t="s">
        <v>31</v>
      </c>
      <c r="O57" s="29" t="s">
        <v>503</v>
      </c>
    </row>
    <row r="58" spans="1:17" ht="15.75">
      <c r="A58" t="s">
        <v>278</v>
      </c>
      <c r="B58">
        <v>0.85</v>
      </c>
      <c r="C58" t="s">
        <v>279</v>
      </c>
      <c r="D58" t="s">
        <v>37</v>
      </c>
      <c r="E58" t="s">
        <v>38</v>
      </c>
      <c r="F58" s="29" t="s">
        <v>485</v>
      </c>
      <c r="G58" t="s">
        <v>130</v>
      </c>
      <c r="H58" t="s">
        <v>33</v>
      </c>
      <c r="I58" s="29">
        <v>0</v>
      </c>
      <c r="J58" s="31" t="s">
        <v>31</v>
      </c>
      <c r="K58" s="31" t="s">
        <v>31</v>
      </c>
      <c r="L58" s="31" t="s">
        <v>31</v>
      </c>
      <c r="M58" s="31" t="s">
        <v>31</v>
      </c>
      <c r="N58" s="31" t="s">
        <v>31</v>
      </c>
      <c r="O58" s="29" t="s">
        <v>503</v>
      </c>
      <c r="Q58" t="s">
        <v>222</v>
      </c>
    </row>
    <row r="59" spans="1:17" ht="15.75">
      <c r="A59" t="s">
        <v>258</v>
      </c>
      <c r="B59">
        <v>0.85</v>
      </c>
      <c r="D59" t="s">
        <v>37</v>
      </c>
      <c r="E59" t="s">
        <v>38</v>
      </c>
      <c r="F59" s="29" t="s">
        <v>485</v>
      </c>
      <c r="G59" t="s">
        <v>57</v>
      </c>
      <c r="H59" t="s">
        <v>269</v>
      </c>
      <c r="I59" s="29">
        <v>0</v>
      </c>
      <c r="J59" s="31" t="s">
        <v>31</v>
      </c>
      <c r="K59" s="31" t="s">
        <v>31</v>
      </c>
      <c r="L59" s="31" t="s">
        <v>31</v>
      </c>
      <c r="M59" s="31" t="s">
        <v>31</v>
      </c>
      <c r="N59" s="31" t="s">
        <v>31</v>
      </c>
      <c r="O59" s="29" t="s">
        <v>503</v>
      </c>
      <c r="Q59" t="s">
        <v>222</v>
      </c>
    </row>
    <row r="60" spans="1:17">
      <c r="A60" t="s">
        <v>489</v>
      </c>
      <c r="B60" s="22">
        <f>-0.25</f>
        <v>-0.25</v>
      </c>
      <c r="D60" t="s">
        <v>37</v>
      </c>
      <c r="E60" s="35" t="s">
        <v>38</v>
      </c>
      <c r="F60" s="29" t="s">
        <v>485</v>
      </c>
      <c r="G60" t="s">
        <v>57</v>
      </c>
      <c r="H60" t="s">
        <v>33</v>
      </c>
      <c r="I60">
        <v>0</v>
      </c>
      <c r="J60" t="s">
        <v>31</v>
      </c>
      <c r="K60" t="s">
        <v>31</v>
      </c>
      <c r="L60" t="s">
        <v>31</v>
      </c>
      <c r="M60" t="s">
        <v>31</v>
      </c>
      <c r="N60" t="s">
        <v>31</v>
      </c>
      <c r="O60" s="29" t="s">
        <v>503</v>
      </c>
    </row>
    <row r="61" spans="1:17" s="28" customFormat="1" ht="15.75">
      <c r="A61" s="25" t="s">
        <v>5</v>
      </c>
      <c r="B61" s="25" t="s">
        <v>508</v>
      </c>
      <c r="C61" s="25"/>
      <c r="D61" s="26"/>
      <c r="E61" s="27"/>
      <c r="F61" s="27"/>
      <c r="G61" s="27"/>
      <c r="H61" s="27"/>
      <c r="I61" s="27"/>
      <c r="J61" s="27"/>
      <c r="K61" s="27"/>
      <c r="L61" s="27"/>
      <c r="M61" s="27"/>
      <c r="N61" s="27"/>
      <c r="O61" s="27"/>
      <c r="P61" s="27"/>
    </row>
    <row r="62" spans="1:17">
      <c r="A62" s="29" t="s">
        <v>7</v>
      </c>
      <c r="B62" s="29" t="s">
        <v>485</v>
      </c>
      <c r="C62" s="29"/>
      <c r="D62" s="29"/>
      <c r="E62" s="29"/>
      <c r="F62" s="29"/>
      <c r="G62" s="29"/>
      <c r="H62" s="29"/>
      <c r="I62" s="29"/>
      <c r="J62" s="29"/>
      <c r="K62" s="29"/>
      <c r="L62" s="29"/>
      <c r="M62" s="29"/>
      <c r="N62" s="29"/>
      <c r="O62" s="29"/>
      <c r="P62" s="29"/>
    </row>
    <row r="63" spans="1:17">
      <c r="A63" s="29" t="s">
        <v>9</v>
      </c>
      <c r="B63" s="30" t="s">
        <v>509</v>
      </c>
      <c r="C63" s="29"/>
      <c r="D63" s="29"/>
      <c r="E63" s="29"/>
      <c r="F63" s="29"/>
      <c r="G63" s="29"/>
      <c r="H63" s="29"/>
      <c r="I63" s="29"/>
      <c r="J63" s="29"/>
      <c r="K63" s="29"/>
      <c r="L63" s="29"/>
      <c r="M63" s="29"/>
      <c r="N63" s="29"/>
      <c r="O63" s="29"/>
      <c r="P63" s="29"/>
    </row>
    <row r="64" spans="1:17">
      <c r="A64" s="29" t="s">
        <v>11</v>
      </c>
      <c r="B64" s="29" t="s">
        <v>223</v>
      </c>
      <c r="C64" s="29"/>
      <c r="D64" s="29"/>
      <c r="E64" s="29"/>
      <c r="F64" s="29"/>
      <c r="G64" s="29"/>
      <c r="H64" s="29"/>
      <c r="I64" s="29"/>
      <c r="J64" s="29"/>
      <c r="K64" s="29"/>
      <c r="L64" s="29"/>
      <c r="M64" s="29"/>
      <c r="N64" s="29"/>
      <c r="O64" s="29"/>
      <c r="P64" s="29"/>
    </row>
    <row r="65" spans="1:17">
      <c r="A65" s="29" t="s">
        <v>13</v>
      </c>
      <c r="B65" s="29" t="s">
        <v>57</v>
      </c>
      <c r="C65" s="29"/>
      <c r="D65" s="29"/>
      <c r="E65" s="29"/>
      <c r="F65" s="29"/>
      <c r="G65" s="29"/>
      <c r="H65" s="29"/>
      <c r="I65" s="29"/>
      <c r="J65" s="29"/>
      <c r="K65" s="29"/>
      <c r="L65" s="29"/>
      <c r="M65" s="29"/>
      <c r="N65" s="29"/>
      <c r="O65" s="29"/>
      <c r="P65" s="29"/>
    </row>
    <row r="66" spans="1:17">
      <c r="A66" s="29" t="s">
        <v>15</v>
      </c>
      <c r="B66" s="29">
        <v>1</v>
      </c>
      <c r="C66" s="29"/>
      <c r="D66" s="29"/>
      <c r="E66" s="29"/>
      <c r="F66" s="29"/>
      <c r="G66" s="29"/>
      <c r="H66" s="29"/>
      <c r="I66" s="29"/>
      <c r="J66" s="29"/>
      <c r="K66" s="29"/>
      <c r="L66" s="29"/>
      <c r="M66" s="29"/>
      <c r="N66" s="29"/>
      <c r="O66" s="29"/>
      <c r="P66" s="29"/>
    </row>
    <row r="67" spans="1:17">
      <c r="A67" s="29" t="s">
        <v>16</v>
      </c>
      <c r="B67" s="29" t="s">
        <v>17</v>
      </c>
      <c r="C67" s="29"/>
      <c r="D67" s="29"/>
      <c r="E67" s="29"/>
      <c r="F67" s="29"/>
      <c r="G67" s="29"/>
      <c r="H67" s="29"/>
      <c r="I67" s="29"/>
      <c r="J67" s="29"/>
      <c r="K67" s="29"/>
      <c r="L67" s="29"/>
      <c r="M67" s="29"/>
      <c r="N67" s="29"/>
      <c r="O67" s="29"/>
      <c r="P67" s="29"/>
    </row>
    <row r="68" spans="1:17" ht="15.75">
      <c r="A68" s="29" t="s">
        <v>18</v>
      </c>
      <c r="B68" s="31" t="s">
        <v>37</v>
      </c>
      <c r="C68" s="29"/>
      <c r="D68" s="29"/>
      <c r="E68" s="29" t="s">
        <v>226</v>
      </c>
      <c r="F68" s="29"/>
      <c r="G68" s="29"/>
      <c r="H68" s="29"/>
      <c r="I68" s="29"/>
      <c r="J68" s="29"/>
      <c r="K68" s="29"/>
      <c r="L68" s="29"/>
      <c r="M68" s="29"/>
      <c r="N68" s="29"/>
      <c r="O68" s="29"/>
      <c r="P68" s="29"/>
    </row>
    <row r="69" spans="1:17" ht="15.75">
      <c r="A69" s="32" t="s">
        <v>19</v>
      </c>
      <c r="B69" s="29"/>
      <c r="C69" s="29"/>
      <c r="D69" s="29"/>
      <c r="E69" s="29"/>
      <c r="F69" s="29"/>
      <c r="G69" s="29"/>
      <c r="H69" s="29"/>
      <c r="I69" s="29"/>
      <c r="J69" s="29"/>
      <c r="K69" s="29"/>
      <c r="L69" s="29"/>
      <c r="M69" s="29"/>
      <c r="N69" s="29"/>
      <c r="O69" s="29"/>
      <c r="P69" s="29"/>
    </row>
    <row r="70" spans="1:17"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7" ht="15.75">
      <c r="A71" s="31" t="str">
        <f>B61</f>
        <v>treatment of nickel,powerplant, conventional, Medium-Term</v>
      </c>
      <c r="B71" s="31">
        <v>1</v>
      </c>
      <c r="C71" s="31"/>
      <c r="D71" s="31" t="s">
        <v>37</v>
      </c>
      <c r="E71" s="29" t="s">
        <v>2</v>
      </c>
      <c r="F71" s="29" t="s">
        <v>485</v>
      </c>
      <c r="G71" s="31" t="s">
        <v>57</v>
      </c>
      <c r="H71" s="29" t="s">
        <v>30</v>
      </c>
      <c r="I71" s="29">
        <v>0</v>
      </c>
      <c r="J71" s="31" t="s">
        <v>31</v>
      </c>
      <c r="K71" s="31" t="s">
        <v>31</v>
      </c>
      <c r="L71" s="31" t="s">
        <v>31</v>
      </c>
      <c r="M71" s="31" t="s">
        <v>31</v>
      </c>
      <c r="N71" s="31" t="s">
        <v>31</v>
      </c>
      <c r="O71" s="29" t="s">
        <v>503</v>
      </c>
    </row>
    <row r="72" spans="1:17" ht="15.75">
      <c r="A72" t="s">
        <v>278</v>
      </c>
      <c r="B72">
        <v>0.85</v>
      </c>
      <c r="C72" t="s">
        <v>279</v>
      </c>
      <c r="D72" t="s">
        <v>37</v>
      </c>
      <c r="E72" t="s">
        <v>38</v>
      </c>
      <c r="F72" s="29" t="s">
        <v>485</v>
      </c>
      <c r="G72" t="s">
        <v>130</v>
      </c>
      <c r="H72" t="s">
        <v>33</v>
      </c>
      <c r="I72" s="29">
        <v>0</v>
      </c>
      <c r="J72" s="31" t="s">
        <v>31</v>
      </c>
      <c r="K72" s="31" t="s">
        <v>31</v>
      </c>
      <c r="L72" s="31" t="s">
        <v>31</v>
      </c>
      <c r="M72" s="31" t="s">
        <v>31</v>
      </c>
      <c r="N72" s="31" t="s">
        <v>31</v>
      </c>
      <c r="O72" s="29" t="s">
        <v>503</v>
      </c>
      <c r="Q72" t="s">
        <v>222</v>
      </c>
    </row>
    <row r="73" spans="1:17" ht="15.75">
      <c r="A73" t="s">
        <v>365</v>
      </c>
      <c r="B73">
        <v>0.85</v>
      </c>
      <c r="D73" t="s">
        <v>37</v>
      </c>
      <c r="E73" t="s">
        <v>38</v>
      </c>
      <c r="F73" s="29" t="s">
        <v>485</v>
      </c>
      <c r="G73" t="s">
        <v>57</v>
      </c>
      <c r="H73" t="s">
        <v>269</v>
      </c>
      <c r="I73" s="29">
        <v>0</v>
      </c>
      <c r="J73" s="31" t="s">
        <v>31</v>
      </c>
      <c r="K73" s="31" t="s">
        <v>31</v>
      </c>
      <c r="L73" s="31" t="s">
        <v>31</v>
      </c>
      <c r="M73" s="31" t="s">
        <v>31</v>
      </c>
      <c r="N73" s="31" t="s">
        <v>31</v>
      </c>
      <c r="O73" s="29" t="s">
        <v>503</v>
      </c>
      <c r="Q73" t="s">
        <v>222</v>
      </c>
    </row>
    <row r="74" spans="1:17">
      <c r="A74" t="s">
        <v>489</v>
      </c>
      <c r="B74" s="22">
        <f>-0.25</f>
        <v>-0.25</v>
      </c>
      <c r="D74" t="s">
        <v>37</v>
      </c>
      <c r="E74" s="35" t="s">
        <v>38</v>
      </c>
      <c r="F74" s="29" t="s">
        <v>485</v>
      </c>
      <c r="G74" t="s">
        <v>57</v>
      </c>
      <c r="H74" t="s">
        <v>33</v>
      </c>
      <c r="I74">
        <v>0</v>
      </c>
      <c r="J74" t="s">
        <v>31</v>
      </c>
      <c r="K74" t="s">
        <v>31</v>
      </c>
      <c r="L74" t="s">
        <v>31</v>
      </c>
      <c r="M74" t="s">
        <v>31</v>
      </c>
      <c r="N74" t="s">
        <v>31</v>
      </c>
      <c r="O74" s="29" t="s">
        <v>503</v>
      </c>
    </row>
    <row r="75" spans="1:17" s="28" customFormat="1" ht="15.75">
      <c r="A75" s="25" t="s">
        <v>5</v>
      </c>
      <c r="B75" s="25" t="s">
        <v>510</v>
      </c>
      <c r="C75" s="25"/>
      <c r="D75" s="26"/>
      <c r="E75" s="27"/>
      <c r="F75" s="27"/>
      <c r="G75" s="27"/>
      <c r="H75" s="27"/>
      <c r="I75" s="27"/>
      <c r="J75" s="27"/>
      <c r="K75" s="27"/>
      <c r="L75" s="27"/>
      <c r="M75" s="27"/>
      <c r="N75" s="27"/>
      <c r="O75" s="27"/>
      <c r="P75" s="27"/>
    </row>
    <row r="76" spans="1:17">
      <c r="A76" s="29" t="s">
        <v>7</v>
      </c>
      <c r="B76" s="29" t="s">
        <v>485</v>
      </c>
      <c r="C76" s="29"/>
      <c r="D76" s="29"/>
      <c r="E76" s="29"/>
      <c r="F76" s="29"/>
      <c r="G76" s="29"/>
      <c r="H76" s="29"/>
      <c r="I76" s="29"/>
      <c r="J76" s="29"/>
      <c r="K76" s="29"/>
      <c r="L76" s="29"/>
      <c r="M76" s="29"/>
      <c r="N76" s="29"/>
      <c r="O76" s="29"/>
      <c r="P76" s="29"/>
    </row>
    <row r="77" spans="1:17">
      <c r="A77" s="29" t="s">
        <v>9</v>
      </c>
      <c r="B77" s="30" t="s">
        <v>511</v>
      </c>
      <c r="C77" s="29"/>
      <c r="D77" s="29"/>
      <c r="E77" s="29"/>
      <c r="F77" s="29"/>
      <c r="G77" s="29"/>
      <c r="H77" s="29"/>
      <c r="I77" s="29"/>
      <c r="J77" s="29"/>
      <c r="K77" s="29"/>
      <c r="L77" s="29"/>
      <c r="M77" s="29"/>
      <c r="N77" s="29"/>
      <c r="O77" s="29"/>
      <c r="P77" s="29"/>
    </row>
    <row r="78" spans="1:17">
      <c r="A78" s="29" t="s">
        <v>11</v>
      </c>
      <c r="B78" s="29" t="s">
        <v>223</v>
      </c>
      <c r="C78" s="29"/>
      <c r="D78" s="29"/>
      <c r="E78" s="29"/>
      <c r="F78" s="29"/>
      <c r="G78" s="29"/>
      <c r="H78" s="29"/>
      <c r="I78" s="29"/>
      <c r="J78" s="29"/>
      <c r="K78" s="29"/>
      <c r="L78" s="29"/>
      <c r="M78" s="29"/>
      <c r="N78" s="29"/>
      <c r="O78" s="29"/>
      <c r="P78" s="29"/>
    </row>
    <row r="79" spans="1:17">
      <c r="A79" s="29" t="s">
        <v>13</v>
      </c>
      <c r="B79" s="29" t="s">
        <v>57</v>
      </c>
      <c r="C79" s="29"/>
      <c r="D79" s="29"/>
      <c r="E79" s="29"/>
      <c r="F79" s="29"/>
      <c r="G79" s="29"/>
      <c r="H79" s="29"/>
      <c r="I79" s="29"/>
      <c r="J79" s="29"/>
      <c r="K79" s="29"/>
      <c r="L79" s="29"/>
      <c r="M79" s="29"/>
      <c r="N79" s="29"/>
      <c r="O79" s="29"/>
      <c r="P79" s="29"/>
    </row>
    <row r="80" spans="1:17">
      <c r="A80" s="29" t="s">
        <v>15</v>
      </c>
      <c r="B80" s="29">
        <v>1</v>
      </c>
      <c r="C80" s="29"/>
      <c r="D80" s="29"/>
      <c r="E80" s="29"/>
      <c r="F80" s="29"/>
      <c r="G80" s="29"/>
      <c r="H80" s="29"/>
      <c r="I80" s="29"/>
      <c r="J80" s="29"/>
      <c r="K80" s="29"/>
      <c r="L80" s="29"/>
      <c r="M80" s="29"/>
      <c r="N80" s="29"/>
      <c r="O80" s="29"/>
      <c r="P80" s="29"/>
    </row>
    <row r="81" spans="1:17">
      <c r="A81" s="29" t="s">
        <v>16</v>
      </c>
      <c r="B81" s="29" t="s">
        <v>17</v>
      </c>
      <c r="C81" s="29"/>
      <c r="D81" s="29"/>
      <c r="E81" s="29"/>
      <c r="F81" s="29"/>
      <c r="G81" s="29"/>
      <c r="H81" s="29"/>
      <c r="I81" s="29"/>
      <c r="J81" s="29"/>
      <c r="K81" s="29"/>
      <c r="L81" s="29"/>
      <c r="M81" s="29"/>
      <c r="N81" s="29"/>
      <c r="O81" s="29"/>
      <c r="P81" s="29"/>
    </row>
    <row r="82" spans="1:17" ht="15.75">
      <c r="A82" s="29" t="s">
        <v>18</v>
      </c>
      <c r="B82" s="31" t="s">
        <v>37</v>
      </c>
      <c r="C82" s="29"/>
      <c r="D82" s="29"/>
      <c r="E82" s="29" t="s">
        <v>226</v>
      </c>
      <c r="F82" s="29"/>
      <c r="G82" s="29"/>
      <c r="H82" s="29"/>
      <c r="I82" s="29"/>
      <c r="J82" s="29"/>
      <c r="K82" s="29"/>
      <c r="L82" s="29"/>
      <c r="M82" s="29"/>
      <c r="N82" s="29"/>
      <c r="O82" s="29"/>
      <c r="P82" s="29"/>
    </row>
    <row r="83" spans="1:17" ht="15.75">
      <c r="A83" s="32" t="s">
        <v>19</v>
      </c>
      <c r="B83" s="29"/>
      <c r="C83" s="29"/>
      <c r="D83" s="29"/>
      <c r="E83" s="29"/>
      <c r="F83" s="29"/>
      <c r="G83" s="29"/>
      <c r="H83" s="29"/>
      <c r="I83" s="29"/>
      <c r="J83" s="29"/>
      <c r="K83" s="29"/>
      <c r="L83" s="29"/>
      <c r="M83" s="29"/>
      <c r="N83" s="29"/>
      <c r="O83" s="29"/>
      <c r="P83" s="29"/>
    </row>
    <row r="84" spans="1:17" ht="15.75">
      <c r="A84" s="32" t="s">
        <v>20</v>
      </c>
      <c r="B84" s="32" t="s">
        <v>21</v>
      </c>
      <c r="C84" s="32" t="s">
        <v>209</v>
      </c>
      <c r="D84" s="32" t="s">
        <v>18</v>
      </c>
      <c r="E84" s="32" t="s">
        <v>22</v>
      </c>
      <c r="F84" s="32" t="s">
        <v>7</v>
      </c>
      <c r="G84" s="32" t="s">
        <v>13</v>
      </c>
      <c r="H84" s="32" t="s">
        <v>16</v>
      </c>
      <c r="I84" s="32" t="s">
        <v>23</v>
      </c>
      <c r="J84" s="32" t="s">
        <v>24</v>
      </c>
      <c r="K84" s="32" t="s">
        <v>25</v>
      </c>
      <c r="L84" s="32" t="s">
        <v>26</v>
      </c>
      <c r="M84" s="32" t="s">
        <v>27</v>
      </c>
      <c r="N84" s="32" t="s">
        <v>28</v>
      </c>
      <c r="O84" s="32" t="s">
        <v>11</v>
      </c>
      <c r="P84" s="32" t="s">
        <v>483</v>
      </c>
    </row>
    <row r="85" spans="1:17" ht="15.75">
      <c r="A85" s="31" t="str">
        <f>B75</f>
        <v>treatment of copper,powerplant, conventional, Medium-Term</v>
      </c>
      <c r="B85" s="31">
        <v>1</v>
      </c>
      <c r="C85" s="31"/>
      <c r="D85" s="31" t="s">
        <v>37</v>
      </c>
      <c r="E85" s="29" t="s">
        <v>2</v>
      </c>
      <c r="F85" s="29" t="s">
        <v>485</v>
      </c>
      <c r="G85" s="31" t="s">
        <v>57</v>
      </c>
      <c r="H85" s="29" t="s">
        <v>30</v>
      </c>
      <c r="I85" s="29">
        <v>0</v>
      </c>
      <c r="J85" s="31" t="s">
        <v>31</v>
      </c>
      <c r="K85" s="31" t="s">
        <v>31</v>
      </c>
      <c r="L85" s="31" t="s">
        <v>31</v>
      </c>
      <c r="M85" s="31" t="s">
        <v>31</v>
      </c>
      <c r="N85" s="31" t="s">
        <v>31</v>
      </c>
      <c r="O85" s="29" t="s">
        <v>503</v>
      </c>
    </row>
    <row r="86" spans="1:17" ht="15.75">
      <c r="A86" t="s">
        <v>278</v>
      </c>
      <c r="B86">
        <v>0.85</v>
      </c>
      <c r="C86" t="s">
        <v>279</v>
      </c>
      <c r="D86" t="s">
        <v>37</v>
      </c>
      <c r="E86" t="s">
        <v>38</v>
      </c>
      <c r="F86" s="29" t="s">
        <v>485</v>
      </c>
      <c r="G86" t="s">
        <v>130</v>
      </c>
      <c r="H86" t="s">
        <v>33</v>
      </c>
      <c r="I86" s="29">
        <v>0</v>
      </c>
      <c r="J86" s="31" t="s">
        <v>31</v>
      </c>
      <c r="K86" s="31" t="s">
        <v>31</v>
      </c>
      <c r="L86" s="31" t="s">
        <v>31</v>
      </c>
      <c r="M86" s="31" t="s">
        <v>31</v>
      </c>
      <c r="N86" s="31" t="s">
        <v>31</v>
      </c>
      <c r="O86" s="29" t="s">
        <v>503</v>
      </c>
      <c r="Q86" t="s">
        <v>222</v>
      </c>
    </row>
    <row r="87" spans="1:17" ht="15.75">
      <c r="A87" t="s">
        <v>362</v>
      </c>
      <c r="B87">
        <v>0.85</v>
      </c>
      <c r="D87" t="s">
        <v>37</v>
      </c>
      <c r="E87" t="s">
        <v>38</v>
      </c>
      <c r="F87" s="29" t="s">
        <v>485</v>
      </c>
      <c r="G87" t="s">
        <v>57</v>
      </c>
      <c r="H87" t="s">
        <v>269</v>
      </c>
      <c r="I87" s="29">
        <v>0</v>
      </c>
      <c r="J87" s="31" t="s">
        <v>31</v>
      </c>
      <c r="K87" s="31" t="s">
        <v>31</v>
      </c>
      <c r="L87" s="31" t="s">
        <v>31</v>
      </c>
      <c r="M87" s="31" t="s">
        <v>31</v>
      </c>
      <c r="N87" s="31" t="s">
        <v>31</v>
      </c>
      <c r="O87" s="29" t="s">
        <v>503</v>
      </c>
      <c r="Q87" t="s">
        <v>222</v>
      </c>
    </row>
    <row r="88" spans="1:17">
      <c r="A88" t="s">
        <v>489</v>
      </c>
      <c r="B88" s="22">
        <f>-0.25</f>
        <v>-0.25</v>
      </c>
      <c r="D88" t="s">
        <v>37</v>
      </c>
      <c r="E88" s="35" t="s">
        <v>38</v>
      </c>
      <c r="F88" s="29" t="s">
        <v>485</v>
      </c>
      <c r="G88" t="s">
        <v>57</v>
      </c>
      <c r="H88" t="s">
        <v>33</v>
      </c>
      <c r="I88">
        <v>0</v>
      </c>
      <c r="J88" t="s">
        <v>31</v>
      </c>
      <c r="K88" t="s">
        <v>31</v>
      </c>
      <c r="L88" t="s">
        <v>31</v>
      </c>
      <c r="M88" t="s">
        <v>31</v>
      </c>
      <c r="N88" t="s">
        <v>31</v>
      </c>
      <c r="O88" s="29" t="s">
        <v>503</v>
      </c>
    </row>
    <row r="89" spans="1:17" s="28" customFormat="1" ht="15.75">
      <c r="A89" s="25" t="s">
        <v>5</v>
      </c>
      <c r="B89" s="25" t="s">
        <v>512</v>
      </c>
      <c r="C89" s="25"/>
      <c r="D89" s="26"/>
      <c r="E89" s="27"/>
      <c r="F89" s="27"/>
      <c r="G89" s="27"/>
      <c r="H89" s="27"/>
      <c r="I89" s="27"/>
      <c r="J89" s="27"/>
      <c r="K89" s="27"/>
      <c r="L89" s="27"/>
      <c r="M89" s="27"/>
      <c r="N89" s="27"/>
      <c r="O89" s="27"/>
      <c r="P89" s="27"/>
    </row>
    <row r="90" spans="1:17">
      <c r="A90" s="29" t="s">
        <v>7</v>
      </c>
      <c r="B90" s="29" t="s">
        <v>485</v>
      </c>
      <c r="C90" s="29"/>
      <c r="D90" s="29"/>
      <c r="E90" s="29"/>
      <c r="F90" s="29"/>
      <c r="G90" s="29"/>
      <c r="H90" s="29"/>
      <c r="I90" s="29"/>
      <c r="J90" s="29"/>
      <c r="K90" s="29"/>
      <c r="L90" s="29"/>
      <c r="M90" s="29"/>
      <c r="N90" s="29"/>
      <c r="O90" s="29"/>
      <c r="P90" s="29"/>
    </row>
    <row r="91" spans="1:17">
      <c r="A91" s="29" t="s">
        <v>9</v>
      </c>
      <c r="B91" s="30" t="s">
        <v>513</v>
      </c>
      <c r="C91" s="29"/>
      <c r="D91" s="29"/>
      <c r="E91" s="29"/>
      <c r="F91" s="29"/>
      <c r="G91" s="29"/>
      <c r="H91" s="29"/>
      <c r="I91" s="29"/>
      <c r="J91" s="29"/>
      <c r="K91" s="29"/>
      <c r="L91" s="29"/>
      <c r="M91" s="29"/>
      <c r="N91" s="29"/>
      <c r="O91" s="29"/>
      <c r="P91" s="29"/>
    </row>
    <row r="92" spans="1:17">
      <c r="A92" s="29" t="s">
        <v>11</v>
      </c>
      <c r="B92" s="29" t="s">
        <v>223</v>
      </c>
      <c r="C92" s="29"/>
      <c r="D92" s="29"/>
      <c r="E92" s="29"/>
      <c r="F92" s="29"/>
      <c r="G92" s="29"/>
      <c r="H92" s="29"/>
      <c r="I92" s="29"/>
      <c r="J92" s="29"/>
      <c r="K92" s="29"/>
      <c r="L92" s="29"/>
      <c r="M92" s="29"/>
      <c r="N92" s="29"/>
      <c r="O92" s="29"/>
      <c r="P92" s="29"/>
    </row>
    <row r="93" spans="1:17">
      <c r="A93" s="29" t="s">
        <v>13</v>
      </c>
      <c r="B93" s="29" t="s">
        <v>57</v>
      </c>
      <c r="C93" s="29"/>
      <c r="D93" s="29"/>
      <c r="E93" s="29"/>
      <c r="F93" s="29"/>
      <c r="G93" s="29"/>
      <c r="H93" s="29"/>
      <c r="I93" s="29"/>
      <c r="J93" s="29"/>
      <c r="K93" s="29"/>
      <c r="L93" s="29"/>
      <c r="M93" s="29"/>
      <c r="N93" s="29"/>
      <c r="O93" s="29"/>
      <c r="P93" s="29"/>
    </row>
    <row r="94" spans="1:17">
      <c r="A94" s="29" t="s">
        <v>15</v>
      </c>
      <c r="B94" s="29">
        <v>1</v>
      </c>
      <c r="C94" s="29"/>
      <c r="D94" s="29"/>
      <c r="E94" s="29"/>
      <c r="F94" s="29"/>
      <c r="G94" s="29"/>
      <c r="H94" s="29"/>
      <c r="I94" s="29"/>
      <c r="J94" s="29"/>
      <c r="K94" s="29"/>
      <c r="L94" s="29"/>
      <c r="M94" s="29"/>
      <c r="N94" s="29"/>
      <c r="O94" s="29"/>
      <c r="P94" s="29"/>
    </row>
    <row r="95" spans="1:17">
      <c r="A95" s="29" t="s">
        <v>16</v>
      </c>
      <c r="B95" s="29" t="s">
        <v>17</v>
      </c>
      <c r="C95" s="29"/>
      <c r="D95" s="29"/>
      <c r="E95" s="29"/>
      <c r="F95" s="29"/>
      <c r="G95" s="29"/>
      <c r="H95" s="29"/>
      <c r="I95" s="29"/>
      <c r="J95" s="29"/>
      <c r="K95" s="29"/>
      <c r="L95" s="29"/>
      <c r="M95" s="29"/>
      <c r="N95" s="29"/>
      <c r="O95" s="29"/>
      <c r="P95" s="29"/>
    </row>
    <row r="96" spans="1:17" ht="15.75">
      <c r="A96" s="29" t="s">
        <v>18</v>
      </c>
      <c r="B96" s="31" t="s">
        <v>37</v>
      </c>
      <c r="C96" s="29"/>
      <c r="D96" s="29"/>
      <c r="E96" s="29" t="s">
        <v>226</v>
      </c>
      <c r="F96" s="29"/>
      <c r="G96" s="29"/>
      <c r="H96" s="29"/>
      <c r="I96" s="29"/>
      <c r="J96" s="29"/>
      <c r="K96" s="29"/>
      <c r="L96" s="29"/>
      <c r="M96" s="29"/>
      <c r="N96" s="29"/>
      <c r="O96" s="29"/>
      <c r="P96" s="29"/>
    </row>
    <row r="97" spans="1:17" ht="15.75">
      <c r="A97" s="32" t="s">
        <v>19</v>
      </c>
      <c r="B97" s="29"/>
      <c r="C97" s="29"/>
      <c r="D97" s="29"/>
      <c r="E97" s="29"/>
      <c r="F97" s="29"/>
      <c r="G97" s="29"/>
      <c r="H97" s="29"/>
      <c r="I97" s="29"/>
      <c r="J97" s="29"/>
      <c r="K97" s="29"/>
      <c r="L97" s="29"/>
      <c r="M97" s="29"/>
      <c r="N97" s="29"/>
      <c r="O97" s="29"/>
      <c r="P97" s="29"/>
    </row>
    <row r="98" spans="1:17" ht="15.75">
      <c r="A98" s="32" t="s">
        <v>20</v>
      </c>
      <c r="B98" s="32" t="s">
        <v>21</v>
      </c>
      <c r="C98" s="32" t="s">
        <v>209</v>
      </c>
      <c r="D98" s="32" t="s">
        <v>18</v>
      </c>
      <c r="E98" s="32" t="s">
        <v>22</v>
      </c>
      <c r="F98" s="32" t="s">
        <v>7</v>
      </c>
      <c r="G98" s="32" t="s">
        <v>13</v>
      </c>
      <c r="H98" s="32" t="s">
        <v>16</v>
      </c>
      <c r="I98" s="32" t="s">
        <v>23</v>
      </c>
      <c r="J98" s="32" t="s">
        <v>24</v>
      </c>
      <c r="K98" s="32" t="s">
        <v>25</v>
      </c>
      <c r="L98" s="32" t="s">
        <v>26</v>
      </c>
      <c r="M98" s="32" t="s">
        <v>27</v>
      </c>
      <c r="N98" s="32" t="s">
        <v>28</v>
      </c>
      <c r="O98" s="32" t="s">
        <v>11</v>
      </c>
      <c r="P98" s="32" t="s">
        <v>483</v>
      </c>
    </row>
    <row r="99" spans="1:17" ht="15.75">
      <c r="A99" s="31" t="str">
        <f>B89</f>
        <v>treatment of magnesium alloy powerplant, conventional, Medium-Term</v>
      </c>
      <c r="B99" s="31">
        <v>1</v>
      </c>
      <c r="C99" s="31"/>
      <c r="D99" s="31" t="s">
        <v>37</v>
      </c>
      <c r="E99" s="29" t="s">
        <v>2</v>
      </c>
      <c r="F99" s="29" t="s">
        <v>485</v>
      </c>
      <c r="G99" s="31" t="s">
        <v>57</v>
      </c>
      <c r="H99" s="29" t="s">
        <v>30</v>
      </c>
      <c r="I99" s="29">
        <v>0</v>
      </c>
      <c r="J99" s="31" t="s">
        <v>31</v>
      </c>
      <c r="K99" s="31" t="s">
        <v>31</v>
      </c>
      <c r="L99" s="31" t="s">
        <v>31</v>
      </c>
      <c r="M99" s="31" t="s">
        <v>31</v>
      </c>
      <c r="N99" s="31" t="s">
        <v>31</v>
      </c>
      <c r="O99" s="29" t="s">
        <v>514</v>
      </c>
    </row>
    <row r="100" spans="1:17">
      <c r="A100" t="s">
        <v>489</v>
      </c>
      <c r="B100" s="22">
        <v>-0.1</v>
      </c>
      <c r="D100" t="s">
        <v>37</v>
      </c>
      <c r="E100" s="35" t="s">
        <v>38</v>
      </c>
      <c r="F100" s="29" t="s">
        <v>485</v>
      </c>
      <c r="G100" t="s">
        <v>57</v>
      </c>
      <c r="H100" t="s">
        <v>33</v>
      </c>
      <c r="I100">
        <v>0</v>
      </c>
      <c r="J100" t="s">
        <v>31</v>
      </c>
      <c r="K100" t="s">
        <v>31</v>
      </c>
      <c r="L100" t="s">
        <v>31</v>
      </c>
      <c r="M100" t="s">
        <v>31</v>
      </c>
      <c r="N100" t="s">
        <v>31</v>
      </c>
      <c r="O100" s="29" t="s">
        <v>515</v>
      </c>
    </row>
    <row r="101" spans="1:17" ht="15.75">
      <c r="A101" t="s">
        <v>278</v>
      </c>
      <c r="B101">
        <f>0.9*0.85</f>
        <v>0.76500000000000001</v>
      </c>
      <c r="C101" t="s">
        <v>279</v>
      </c>
      <c r="D101" t="s">
        <v>37</v>
      </c>
      <c r="E101" t="s">
        <v>38</v>
      </c>
      <c r="F101" s="29" t="s">
        <v>485</v>
      </c>
      <c r="G101" t="s">
        <v>130</v>
      </c>
      <c r="H101" t="s">
        <v>33</v>
      </c>
      <c r="I101" s="29">
        <v>0</v>
      </c>
      <c r="J101" s="31" t="s">
        <v>31</v>
      </c>
      <c r="K101" s="31" t="s">
        <v>31</v>
      </c>
      <c r="L101" s="31" t="s">
        <v>31</v>
      </c>
      <c r="M101" s="31" t="s">
        <v>31</v>
      </c>
      <c r="N101" s="31" t="s">
        <v>31</v>
      </c>
      <c r="O101" s="29" t="s">
        <v>516</v>
      </c>
      <c r="Q101" t="s">
        <v>222</v>
      </c>
    </row>
    <row r="102" spans="1:17">
      <c r="A102" t="s">
        <v>489</v>
      </c>
      <c r="B102" s="22">
        <f>-0.25*0.9</f>
        <v>-0.22500000000000001</v>
      </c>
      <c r="D102" t="s">
        <v>37</v>
      </c>
      <c r="E102" s="35" t="s">
        <v>38</v>
      </c>
      <c r="F102" s="29" t="s">
        <v>485</v>
      </c>
      <c r="G102" t="s">
        <v>57</v>
      </c>
      <c r="H102" t="s">
        <v>33</v>
      </c>
      <c r="I102">
        <v>0</v>
      </c>
      <c r="J102" t="s">
        <v>31</v>
      </c>
      <c r="K102" t="s">
        <v>31</v>
      </c>
      <c r="L102" t="s">
        <v>31</v>
      </c>
      <c r="M102" t="s">
        <v>31</v>
      </c>
      <c r="N102" t="s">
        <v>31</v>
      </c>
      <c r="O102" s="29" t="s">
        <v>517</v>
      </c>
    </row>
    <row r="103" spans="1:17" s="28" customFormat="1" ht="15.75">
      <c r="A103" s="25" t="s">
        <v>5</v>
      </c>
      <c r="B103" s="25" t="s">
        <v>518</v>
      </c>
      <c r="C103" s="25"/>
      <c r="D103" s="26"/>
      <c r="E103" s="27"/>
      <c r="F103" s="27"/>
      <c r="G103" s="27"/>
      <c r="H103" s="27"/>
      <c r="I103" s="27"/>
      <c r="J103" s="27"/>
      <c r="K103" s="27"/>
      <c r="L103" s="27"/>
      <c r="M103" s="27"/>
      <c r="N103" s="27"/>
      <c r="O103" s="27"/>
      <c r="P103" s="27"/>
    </row>
    <row r="104" spans="1:17">
      <c r="A104" s="29" t="s">
        <v>7</v>
      </c>
      <c r="B104" s="29" t="s">
        <v>485</v>
      </c>
      <c r="C104" s="29"/>
      <c r="D104" s="29"/>
      <c r="E104" s="29"/>
      <c r="F104" s="29"/>
      <c r="G104" s="29"/>
      <c r="H104" s="29"/>
      <c r="I104" s="29"/>
      <c r="J104" s="29"/>
      <c r="K104" s="29"/>
      <c r="L104" s="29"/>
      <c r="M104" s="29"/>
      <c r="N104" s="29"/>
      <c r="O104" s="29"/>
      <c r="P104" s="29"/>
    </row>
    <row r="105" spans="1:17">
      <c r="A105" s="29" t="s">
        <v>9</v>
      </c>
      <c r="B105" s="30" t="s">
        <v>519</v>
      </c>
      <c r="C105" s="29"/>
      <c r="D105" s="29"/>
      <c r="E105" s="29"/>
      <c r="F105" s="29"/>
      <c r="G105" s="29"/>
      <c r="H105" s="29"/>
      <c r="I105" s="29"/>
      <c r="J105" s="29"/>
      <c r="K105" s="29"/>
      <c r="L105" s="29"/>
      <c r="M105" s="29"/>
      <c r="N105" s="29"/>
      <c r="O105" s="29"/>
      <c r="P105" s="29"/>
    </row>
    <row r="106" spans="1:17">
      <c r="A106" s="29" t="s">
        <v>11</v>
      </c>
      <c r="B106" s="29" t="s">
        <v>223</v>
      </c>
      <c r="C106" s="29"/>
      <c r="D106" s="29"/>
      <c r="E106" s="29"/>
      <c r="F106" s="29"/>
      <c r="G106" s="29"/>
      <c r="H106" s="29"/>
      <c r="I106" s="29"/>
      <c r="J106" s="29"/>
      <c r="K106" s="29"/>
      <c r="L106" s="29"/>
      <c r="M106" s="29"/>
      <c r="N106" s="29"/>
      <c r="O106" s="29"/>
      <c r="P106" s="29"/>
    </row>
    <row r="107" spans="1:17">
      <c r="A107" s="29" t="s">
        <v>13</v>
      </c>
      <c r="B107" s="29" t="s">
        <v>57</v>
      </c>
      <c r="C107" s="29"/>
      <c r="D107" s="29"/>
      <c r="E107" s="29"/>
      <c r="F107" s="29"/>
      <c r="G107" s="29"/>
      <c r="H107" s="29"/>
      <c r="I107" s="29"/>
      <c r="J107" s="29"/>
      <c r="K107" s="29"/>
      <c r="L107" s="29"/>
      <c r="M107" s="29"/>
      <c r="N107" s="29"/>
      <c r="O107" s="29"/>
      <c r="P107" s="29"/>
    </row>
    <row r="108" spans="1:17">
      <c r="A108" s="29" t="s">
        <v>15</v>
      </c>
      <c r="B108" s="29">
        <v>1</v>
      </c>
      <c r="C108" s="29"/>
      <c r="D108" s="29"/>
      <c r="E108" s="29"/>
      <c r="F108" s="29"/>
      <c r="G108" s="29"/>
      <c r="H108" s="29"/>
      <c r="I108" s="29"/>
      <c r="J108" s="29"/>
      <c r="K108" s="29"/>
      <c r="L108" s="29"/>
      <c r="M108" s="29"/>
      <c r="N108" s="29"/>
      <c r="O108" s="29"/>
      <c r="P108" s="29"/>
    </row>
    <row r="109" spans="1:17">
      <c r="A109" s="29" t="s">
        <v>16</v>
      </c>
      <c r="B109" s="29" t="s">
        <v>17</v>
      </c>
      <c r="C109" s="29"/>
      <c r="D109" s="29"/>
      <c r="E109" s="29"/>
      <c r="F109" s="29"/>
      <c r="G109" s="29"/>
      <c r="H109" s="29"/>
      <c r="I109" s="29"/>
      <c r="J109" s="29"/>
      <c r="K109" s="29"/>
      <c r="L109" s="29"/>
      <c r="M109" s="29"/>
      <c r="N109" s="29"/>
      <c r="O109" s="29"/>
      <c r="P109" s="29"/>
    </row>
    <row r="110" spans="1:17" ht="15.75">
      <c r="A110" s="29" t="s">
        <v>18</v>
      </c>
      <c r="B110" s="31" t="s">
        <v>37</v>
      </c>
      <c r="C110" s="29"/>
      <c r="D110" s="29"/>
      <c r="E110" s="29" t="s">
        <v>226</v>
      </c>
      <c r="F110" s="29"/>
      <c r="G110" s="29"/>
      <c r="H110" s="29"/>
      <c r="I110" s="29"/>
      <c r="J110" s="29"/>
      <c r="K110" s="29"/>
      <c r="L110" s="29"/>
      <c r="M110" s="29"/>
      <c r="N110" s="29"/>
      <c r="O110" s="29"/>
      <c r="P110" s="29"/>
    </row>
    <row r="111" spans="1:17" ht="15.75">
      <c r="A111" s="32" t="s">
        <v>19</v>
      </c>
      <c r="B111" s="29"/>
      <c r="C111" s="29"/>
      <c r="D111" s="29"/>
      <c r="E111" s="29"/>
      <c r="F111" s="29"/>
      <c r="G111" s="29"/>
      <c r="H111" s="29"/>
      <c r="I111" s="29"/>
      <c r="J111" s="29"/>
      <c r="K111" s="29"/>
      <c r="L111" s="29"/>
      <c r="M111" s="29"/>
      <c r="N111" s="29"/>
      <c r="O111" s="29"/>
      <c r="P111" s="29"/>
    </row>
    <row r="112" spans="1:17" ht="15.75">
      <c r="A112" s="32" t="s">
        <v>20</v>
      </c>
      <c r="B112" s="32" t="s">
        <v>21</v>
      </c>
      <c r="C112" s="32" t="s">
        <v>209</v>
      </c>
      <c r="D112" s="32" t="s">
        <v>18</v>
      </c>
      <c r="E112" s="32" t="s">
        <v>22</v>
      </c>
      <c r="F112" s="32" t="s">
        <v>7</v>
      </c>
      <c r="G112" s="32" t="s">
        <v>13</v>
      </c>
      <c r="H112" s="32" t="s">
        <v>16</v>
      </c>
      <c r="I112" s="32" t="s">
        <v>23</v>
      </c>
      <c r="J112" s="32" t="s">
        <v>24</v>
      </c>
      <c r="K112" s="32" t="s">
        <v>25</v>
      </c>
      <c r="L112" s="32" t="s">
        <v>26</v>
      </c>
      <c r="M112" s="32" t="s">
        <v>27</v>
      </c>
      <c r="N112" s="32" t="s">
        <v>28</v>
      </c>
      <c r="O112" s="32" t="s">
        <v>11</v>
      </c>
      <c r="P112" s="32" t="s">
        <v>483</v>
      </c>
    </row>
    <row r="113" spans="1:16" ht="15.75">
      <c r="A113" s="31" t="str">
        <f>B103</f>
        <v>treatment of rubber and cellulose fibre powerplant, conventional, Medium-Term</v>
      </c>
      <c r="B113" s="31">
        <v>1</v>
      </c>
      <c r="C113" s="31"/>
      <c r="D113" s="31" t="s">
        <v>37</v>
      </c>
      <c r="E113" s="29" t="s">
        <v>2</v>
      </c>
      <c r="F113" s="29" t="s">
        <v>485</v>
      </c>
      <c r="G113" s="31" t="s">
        <v>57</v>
      </c>
      <c r="H113" s="29" t="s">
        <v>30</v>
      </c>
      <c r="I113" s="29">
        <v>0</v>
      </c>
      <c r="J113" s="31" t="s">
        <v>31</v>
      </c>
      <c r="K113" s="31" t="s">
        <v>31</v>
      </c>
      <c r="L113" s="31" t="s">
        <v>31</v>
      </c>
      <c r="M113" s="31" t="s">
        <v>31</v>
      </c>
      <c r="N113" s="31" t="s">
        <v>31</v>
      </c>
      <c r="O113" s="29" t="s">
        <v>520</v>
      </c>
    </row>
    <row r="114" spans="1:16" ht="15.75">
      <c r="A114" s="35" t="s">
        <v>521</v>
      </c>
      <c r="B114" s="29">
        <f>-1</f>
        <v>-1</v>
      </c>
      <c r="D114" t="s">
        <v>37</v>
      </c>
      <c r="E114" s="36" t="s">
        <v>38</v>
      </c>
      <c r="F114" s="29" t="s">
        <v>485</v>
      </c>
      <c r="G114" t="s">
        <v>130</v>
      </c>
      <c r="H114" t="s">
        <v>33</v>
      </c>
      <c r="I114" s="29">
        <v>0</v>
      </c>
      <c r="J114" s="31" t="s">
        <v>31</v>
      </c>
      <c r="K114" s="31" t="s">
        <v>31</v>
      </c>
      <c r="L114" s="31" t="s">
        <v>31</v>
      </c>
      <c r="M114" s="31" t="s">
        <v>31</v>
      </c>
      <c r="N114" s="31" t="s">
        <v>31</v>
      </c>
      <c r="O114" s="31"/>
    </row>
    <row r="115" spans="1:16" s="41" customFormat="1" ht="15.75">
      <c r="A115" s="38" t="s">
        <v>5</v>
      </c>
      <c r="B115" s="38" t="s">
        <v>522</v>
      </c>
      <c r="C115" s="38"/>
      <c r="D115" s="39"/>
      <c r="E115" s="40"/>
      <c r="F115" s="40"/>
      <c r="G115" s="40"/>
      <c r="H115" s="40"/>
      <c r="I115" s="40"/>
      <c r="J115" s="40"/>
      <c r="K115" s="40"/>
      <c r="L115" s="40"/>
      <c r="M115" s="40"/>
      <c r="N115" s="40"/>
      <c r="O115" s="40"/>
      <c r="P115" s="40"/>
    </row>
    <row r="116" spans="1:16">
      <c r="A116" s="29" t="s">
        <v>7</v>
      </c>
      <c r="B116" s="29" t="s">
        <v>485</v>
      </c>
      <c r="C116" s="29"/>
      <c r="D116" s="29"/>
      <c r="E116" s="29"/>
      <c r="F116" s="29"/>
      <c r="G116" s="29"/>
      <c r="H116" s="29"/>
      <c r="I116" s="29"/>
      <c r="J116" s="29"/>
      <c r="K116" s="29"/>
      <c r="L116" s="29"/>
      <c r="M116" s="29"/>
      <c r="N116" s="29"/>
      <c r="O116" s="29"/>
      <c r="P116" s="29"/>
    </row>
    <row r="117" spans="1:16">
      <c r="A117" s="29" t="s">
        <v>9</v>
      </c>
      <c r="B117" s="30" t="s">
        <v>523</v>
      </c>
      <c r="C117" s="29"/>
      <c r="D117" s="29"/>
      <c r="E117" s="29"/>
      <c r="F117" s="29"/>
      <c r="G117" s="29"/>
      <c r="H117" s="29"/>
      <c r="I117" s="29"/>
      <c r="J117" s="29"/>
      <c r="K117" s="29"/>
      <c r="L117" s="29"/>
      <c r="M117" s="29"/>
      <c r="N117" s="29"/>
      <c r="O117" s="29"/>
      <c r="P117" s="29"/>
    </row>
    <row r="118" spans="1:16">
      <c r="A118" s="29" t="s">
        <v>11</v>
      </c>
      <c r="B118" s="29" t="s">
        <v>223</v>
      </c>
      <c r="C118" s="29"/>
      <c r="D118" s="29"/>
      <c r="E118" s="29"/>
      <c r="F118" s="29"/>
      <c r="G118" s="29"/>
      <c r="H118" s="29"/>
      <c r="I118" s="29"/>
      <c r="J118" s="29"/>
      <c r="K118" s="29"/>
      <c r="L118" s="29"/>
      <c r="M118" s="29"/>
      <c r="N118" s="29"/>
      <c r="O118" s="29"/>
      <c r="P118" s="29"/>
    </row>
    <row r="119" spans="1:16">
      <c r="A119" s="29" t="s">
        <v>13</v>
      </c>
      <c r="B119" s="29" t="s">
        <v>57</v>
      </c>
      <c r="C119" s="29"/>
      <c r="D119" s="29"/>
      <c r="E119" s="29"/>
      <c r="F119" s="29"/>
      <c r="G119" s="29"/>
      <c r="H119" s="29"/>
      <c r="I119" s="29"/>
      <c r="J119" s="29"/>
      <c r="K119" s="29"/>
      <c r="L119" s="29"/>
      <c r="M119" s="29"/>
      <c r="N119" s="29"/>
      <c r="O119" s="29"/>
      <c r="P119" s="29"/>
    </row>
    <row r="120" spans="1:16">
      <c r="A120" s="29" t="s">
        <v>15</v>
      </c>
      <c r="B120" s="29">
        <v>1</v>
      </c>
      <c r="C120" s="29"/>
      <c r="D120" s="29"/>
      <c r="E120" s="29"/>
      <c r="F120" s="29"/>
      <c r="G120" s="29"/>
      <c r="H120" s="29"/>
      <c r="I120" s="29"/>
      <c r="J120" s="29"/>
      <c r="K120" s="29"/>
      <c r="L120" s="29"/>
      <c r="M120" s="29"/>
      <c r="N120" s="29"/>
      <c r="O120" s="29"/>
      <c r="P120" s="29"/>
    </row>
    <row r="121" spans="1:16">
      <c r="A121" s="29" t="s">
        <v>16</v>
      </c>
      <c r="B121" s="29" t="s">
        <v>17</v>
      </c>
      <c r="C121" s="29"/>
      <c r="D121" s="29"/>
      <c r="E121" s="29"/>
      <c r="F121" s="29"/>
      <c r="G121" s="29"/>
      <c r="H121" s="29"/>
      <c r="I121" s="29"/>
      <c r="J121" s="29"/>
      <c r="K121" s="29"/>
      <c r="L121" s="29"/>
      <c r="M121" s="29"/>
      <c r="N121" s="29"/>
      <c r="O121" s="29"/>
      <c r="P121" s="29"/>
    </row>
    <row r="122" spans="1:16" ht="15.75">
      <c r="A122" s="29" t="s">
        <v>18</v>
      </c>
      <c r="B122" s="31" t="s">
        <v>18</v>
      </c>
      <c r="C122" s="29"/>
      <c r="D122" s="29"/>
      <c r="E122" s="29" t="s">
        <v>226</v>
      </c>
      <c r="F122" s="29"/>
      <c r="G122" s="29"/>
      <c r="H122" s="29"/>
      <c r="I122" s="29"/>
      <c r="J122" s="29"/>
      <c r="K122" s="29"/>
      <c r="L122" s="29"/>
      <c r="M122" s="29"/>
      <c r="N122" s="29"/>
      <c r="O122" s="29"/>
      <c r="P122" s="29"/>
    </row>
    <row r="123" spans="1:16" ht="15.75">
      <c r="A123" s="32" t="s">
        <v>19</v>
      </c>
      <c r="B123" s="29"/>
      <c r="C123" s="29"/>
      <c r="D123" s="29"/>
      <c r="E123" s="29"/>
      <c r="F123" s="29"/>
      <c r="G123" s="29"/>
      <c r="H123" s="29"/>
      <c r="I123" s="29"/>
      <c r="J123" s="29"/>
      <c r="K123" s="29"/>
      <c r="L123" s="29"/>
      <c r="M123" s="29"/>
      <c r="N123" s="29"/>
      <c r="O123" s="29"/>
      <c r="P123" s="29"/>
    </row>
    <row r="124" spans="1:16" ht="15.75">
      <c r="A124" s="32" t="s">
        <v>20</v>
      </c>
      <c r="B124" s="32" t="s">
        <v>21</v>
      </c>
      <c r="C124" s="32" t="s">
        <v>209</v>
      </c>
      <c r="D124" s="32" t="s">
        <v>18</v>
      </c>
      <c r="E124" s="32" t="s">
        <v>22</v>
      </c>
      <c r="F124" s="32" t="s">
        <v>7</v>
      </c>
      <c r="G124" s="32" t="s">
        <v>13</v>
      </c>
      <c r="H124" s="32" t="s">
        <v>16</v>
      </c>
      <c r="I124" s="32" t="s">
        <v>23</v>
      </c>
      <c r="J124" s="32" t="s">
        <v>24</v>
      </c>
      <c r="K124" s="32" t="s">
        <v>25</v>
      </c>
      <c r="L124" s="32" t="s">
        <v>26</v>
      </c>
      <c r="M124" s="32" t="s">
        <v>27</v>
      </c>
      <c r="N124" s="32" t="s">
        <v>28</v>
      </c>
      <c r="O124" s="32" t="s">
        <v>11</v>
      </c>
      <c r="P124" s="32" t="s">
        <v>483</v>
      </c>
    </row>
    <row r="125" spans="1:16" ht="15.75">
      <c r="A125" s="31" t="str">
        <f>B115</f>
        <v>treatment of powerplant, conventional, Medium-Term</v>
      </c>
      <c r="B125" s="32">
        <v>1</v>
      </c>
      <c r="C125" s="31"/>
      <c r="D125" s="31" t="s">
        <v>18</v>
      </c>
      <c r="E125" s="29" t="s">
        <v>2</v>
      </c>
      <c r="F125" s="29" t="s">
        <v>485</v>
      </c>
      <c r="G125" s="31" t="s">
        <v>57</v>
      </c>
      <c r="H125" s="29" t="s">
        <v>30</v>
      </c>
      <c r="I125" s="29">
        <v>0</v>
      </c>
      <c r="J125" s="31" t="s">
        <v>31</v>
      </c>
      <c r="K125" s="31" t="s">
        <v>31</v>
      </c>
      <c r="L125" s="31" t="s">
        <v>31</v>
      </c>
      <c r="M125" s="31" t="s">
        <v>31</v>
      </c>
      <c r="N125" s="31" t="s">
        <v>31</v>
      </c>
      <c r="O125" s="32"/>
      <c r="P125" s="32"/>
    </row>
    <row r="126" spans="1:16" ht="15.75">
      <c r="A126" t="str">
        <f>B32</f>
        <v>treatment of aluminium,powerplant, conventional, Medium-Term</v>
      </c>
      <c r="B126">
        <v>334.7549980599988</v>
      </c>
      <c r="D126" t="s">
        <v>37</v>
      </c>
      <c r="E126" s="29" t="s">
        <v>2</v>
      </c>
      <c r="F126" s="29" t="s">
        <v>485</v>
      </c>
      <c r="G126" s="31" t="s">
        <v>57</v>
      </c>
      <c r="H126" t="s">
        <v>33</v>
      </c>
      <c r="I126" s="29">
        <v>0</v>
      </c>
      <c r="J126" s="31" t="s">
        <v>31</v>
      </c>
      <c r="K126" s="31" t="s">
        <v>31</v>
      </c>
      <c r="L126" s="31" t="s">
        <v>31</v>
      </c>
      <c r="M126" s="31" t="s">
        <v>31</v>
      </c>
      <c r="N126" s="31" t="s">
        <v>31</v>
      </c>
    </row>
    <row r="127" spans="1:16" ht="15.75">
      <c r="A127" t="str">
        <f>'airframe EoL LCI'!A131</f>
        <v>treatment of steel, fuselage, airframe, conventional, Medium-Term</v>
      </c>
      <c r="B127">
        <v>508.94000830000027</v>
      </c>
      <c r="D127" t="s">
        <v>37</v>
      </c>
      <c r="E127" s="29" t="s">
        <v>2</v>
      </c>
      <c r="F127" s="29" t="s">
        <v>485</v>
      </c>
      <c r="G127" s="31" t="s">
        <v>57</v>
      </c>
      <c r="H127" t="s">
        <v>33</v>
      </c>
      <c r="I127" s="29">
        <v>0</v>
      </c>
      <c r="J127" s="31" t="s">
        <v>31</v>
      </c>
      <c r="K127" s="31" t="s">
        <v>31</v>
      </c>
      <c r="L127" s="31" t="s">
        <v>31</v>
      </c>
      <c r="M127" s="31" t="s">
        <v>31</v>
      </c>
      <c r="N127" s="31" t="s">
        <v>31</v>
      </c>
    </row>
    <row r="128" spans="1:16" ht="15.75">
      <c r="A128" t="str">
        <f>B2</f>
        <v>treatment of titanium,powerplant, conventional, Medium-Term</v>
      </c>
      <c r="B128">
        <v>96.712058699999943</v>
      </c>
      <c r="D128" t="s">
        <v>37</v>
      </c>
      <c r="E128" s="29" t="s">
        <v>2</v>
      </c>
      <c r="F128" s="29" t="s">
        <v>485</v>
      </c>
      <c r="G128" s="31" t="s">
        <v>57</v>
      </c>
      <c r="H128" t="s">
        <v>33</v>
      </c>
      <c r="I128" s="29">
        <v>0</v>
      </c>
      <c r="J128" s="31" t="s">
        <v>31</v>
      </c>
      <c r="K128" s="31" t="s">
        <v>31</v>
      </c>
      <c r="L128" s="31" t="s">
        <v>31</v>
      </c>
      <c r="M128" s="31" t="s">
        <v>31</v>
      </c>
      <c r="N128" s="31" t="s">
        <v>31</v>
      </c>
    </row>
    <row r="129" spans="1:14" ht="15.75">
      <c r="A129" t="str">
        <f>B47</f>
        <v>treatment of iron-nickel chromium alloy,powerplant, conventional, Medium-Term</v>
      </c>
      <c r="B129">
        <v>146.36070000000001</v>
      </c>
      <c r="D129" t="s">
        <v>37</v>
      </c>
      <c r="E129" s="29" t="s">
        <v>2</v>
      </c>
      <c r="F129" s="29" t="s">
        <v>485</v>
      </c>
      <c r="G129" s="31" t="s">
        <v>57</v>
      </c>
      <c r="H129" t="s">
        <v>33</v>
      </c>
      <c r="I129" s="29">
        <v>0</v>
      </c>
      <c r="J129" s="31" t="s">
        <v>31</v>
      </c>
      <c r="K129" s="31" t="s">
        <v>31</v>
      </c>
      <c r="L129" s="31" t="s">
        <v>31</v>
      </c>
      <c r="M129" s="31" t="s">
        <v>31</v>
      </c>
      <c r="N129" s="31" t="s">
        <v>31</v>
      </c>
    </row>
    <row r="130" spans="1:14" ht="15.75">
      <c r="A130" t="str">
        <f>B17</f>
        <v>treatment of CFRP,powerplant, conventional, Medium-Term</v>
      </c>
      <c r="B130">
        <v>39.408258410000002</v>
      </c>
      <c r="D130" t="s">
        <v>37</v>
      </c>
      <c r="E130" s="29" t="s">
        <v>2</v>
      </c>
      <c r="F130" s="29" t="s">
        <v>485</v>
      </c>
      <c r="G130" s="31" t="s">
        <v>57</v>
      </c>
      <c r="H130" t="s">
        <v>33</v>
      </c>
      <c r="I130" s="29">
        <v>0</v>
      </c>
      <c r="J130" s="31" t="s">
        <v>31</v>
      </c>
      <c r="K130" s="31" t="s">
        <v>31</v>
      </c>
      <c r="L130" s="31" t="s">
        <v>31</v>
      </c>
      <c r="M130" s="31" t="s">
        <v>31</v>
      </c>
      <c r="N130" s="31" t="s">
        <v>31</v>
      </c>
    </row>
    <row r="131" spans="1:14" ht="15.75">
      <c r="A131" t="str">
        <f>B103</f>
        <v>treatment of rubber and cellulose fibre powerplant, conventional, Medium-Term</v>
      </c>
      <c r="B131">
        <v>9.1759999999999877</v>
      </c>
      <c r="D131" t="s">
        <v>37</v>
      </c>
      <c r="E131" s="29" t="s">
        <v>2</v>
      </c>
      <c r="F131" s="29" t="s">
        <v>485</v>
      </c>
      <c r="G131" s="31" t="s">
        <v>57</v>
      </c>
      <c r="H131" t="s">
        <v>33</v>
      </c>
      <c r="I131" s="29">
        <v>0</v>
      </c>
      <c r="J131" s="31" t="s">
        <v>31</v>
      </c>
      <c r="K131" s="31" t="s">
        <v>31</v>
      </c>
      <c r="L131" s="31" t="s">
        <v>31</v>
      </c>
      <c r="M131" s="31" t="s">
        <v>31</v>
      </c>
      <c r="N131" s="31" t="s">
        <v>31</v>
      </c>
    </row>
    <row r="132" spans="1:14" ht="15.75">
      <c r="A132" t="str">
        <f>B75</f>
        <v>treatment of copper,powerplant, conventional, Medium-Term</v>
      </c>
      <c r="B132">
        <v>3.7278999999999982</v>
      </c>
      <c r="D132" t="s">
        <v>37</v>
      </c>
      <c r="E132" s="29" t="s">
        <v>2</v>
      </c>
      <c r="F132" s="29" t="s">
        <v>485</v>
      </c>
      <c r="G132" s="31" t="s">
        <v>57</v>
      </c>
      <c r="H132" t="s">
        <v>33</v>
      </c>
      <c r="I132" s="29">
        <v>0</v>
      </c>
      <c r="J132" s="31" t="s">
        <v>31</v>
      </c>
      <c r="K132" s="31" t="s">
        <v>31</v>
      </c>
      <c r="L132" s="31" t="s">
        <v>31</v>
      </c>
      <c r="M132" s="31" t="s">
        <v>31</v>
      </c>
      <c r="N132" s="31" t="s">
        <v>31</v>
      </c>
    </row>
    <row r="133" spans="1:14" ht="15.75">
      <c r="A133" t="str">
        <f>B61</f>
        <v>treatment of nickel,powerplant, conventional, Medium-Term</v>
      </c>
      <c r="B133">
        <v>2.0076000000000001</v>
      </c>
      <c r="D133" t="s">
        <v>37</v>
      </c>
      <c r="E133" s="29" t="s">
        <v>2</v>
      </c>
      <c r="F133" s="29" t="s">
        <v>485</v>
      </c>
      <c r="G133" s="31" t="s">
        <v>57</v>
      </c>
      <c r="H133" t="s">
        <v>33</v>
      </c>
      <c r="I133" s="29">
        <v>0</v>
      </c>
      <c r="J133" s="31" t="s">
        <v>31</v>
      </c>
      <c r="K133" s="31" t="s">
        <v>31</v>
      </c>
      <c r="L133" s="31" t="s">
        <v>31</v>
      </c>
      <c r="M133" s="31" t="s">
        <v>31</v>
      </c>
      <c r="N133" s="31" t="s">
        <v>31</v>
      </c>
    </row>
    <row r="134" spans="1:14" ht="15.75">
      <c r="A134" t="str">
        <f>B103</f>
        <v>treatment of rubber and cellulose fibre powerplant, conventional, Medium-Term</v>
      </c>
      <c r="B134">
        <v>1.1469999999999985</v>
      </c>
      <c r="D134" t="s">
        <v>37</v>
      </c>
      <c r="E134" s="29" t="s">
        <v>2</v>
      </c>
      <c r="F134" s="29" t="s">
        <v>485</v>
      </c>
      <c r="G134" s="31" t="s">
        <v>57</v>
      </c>
      <c r="H134" t="s">
        <v>33</v>
      </c>
      <c r="I134" s="29">
        <v>0</v>
      </c>
      <c r="J134" s="31" t="s">
        <v>31</v>
      </c>
      <c r="K134" s="31" t="s">
        <v>31</v>
      </c>
      <c r="L134" s="31" t="s">
        <v>31</v>
      </c>
      <c r="M134" s="31" t="s">
        <v>31</v>
      </c>
      <c r="N134" s="31" t="s">
        <v>31</v>
      </c>
    </row>
    <row r="135" spans="1:14" ht="15.75">
      <c r="A135" t="str">
        <f>B89</f>
        <v>treatment of magnesium alloy powerplant, conventional, Medium-Term</v>
      </c>
      <c r="B135">
        <v>5.6062837600000002</v>
      </c>
      <c r="D135" t="s">
        <v>37</v>
      </c>
      <c r="E135" s="29" t="s">
        <v>2</v>
      </c>
      <c r="F135" s="29" t="s">
        <v>485</v>
      </c>
      <c r="G135" s="31" t="s">
        <v>57</v>
      </c>
      <c r="H135" t="s">
        <v>33</v>
      </c>
      <c r="I135" s="29">
        <v>0</v>
      </c>
      <c r="J135" s="31" t="s">
        <v>31</v>
      </c>
      <c r="K135" s="31" t="s">
        <v>31</v>
      </c>
      <c r="L135" s="31" t="s">
        <v>31</v>
      </c>
      <c r="M135" s="31" t="s">
        <v>31</v>
      </c>
      <c r="N135" s="31"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468-62E4-44DE-BBB7-8578EECC61BF}">
  <dimension ref="A1:V249"/>
  <sheetViews>
    <sheetView zoomScale="85" zoomScaleNormal="85" workbookViewId="0">
      <selection activeCell="E16" sqref="E1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8" customFormat="1" ht="15.75">
      <c r="A2" s="25" t="s">
        <v>5</v>
      </c>
      <c r="B2" s="25" t="s">
        <v>524</v>
      </c>
      <c r="C2" s="25"/>
      <c r="D2" s="26"/>
      <c r="E2" s="27"/>
      <c r="F2" s="27"/>
      <c r="G2" s="27"/>
      <c r="H2" s="27"/>
      <c r="I2" s="27"/>
      <c r="J2" s="27"/>
      <c r="K2" s="27"/>
      <c r="L2" s="27"/>
      <c r="M2" s="27"/>
      <c r="N2" s="27"/>
      <c r="O2" s="27"/>
      <c r="P2" s="27"/>
    </row>
    <row r="3" spans="1:16">
      <c r="A3" s="29" t="s">
        <v>7</v>
      </c>
      <c r="B3" s="29" t="s">
        <v>485</v>
      </c>
      <c r="C3" s="29"/>
      <c r="D3" s="29"/>
      <c r="E3" s="29"/>
      <c r="F3" s="29"/>
      <c r="G3" s="29"/>
      <c r="H3" s="29"/>
      <c r="I3" s="29"/>
      <c r="J3" s="29"/>
      <c r="K3" s="29"/>
      <c r="L3" s="29"/>
      <c r="M3" s="29"/>
      <c r="N3" s="29"/>
      <c r="O3" s="29"/>
      <c r="P3" s="29"/>
    </row>
    <row r="4" spans="1:16">
      <c r="A4" s="29" t="s">
        <v>9</v>
      </c>
      <c r="B4" s="30" t="s">
        <v>525</v>
      </c>
      <c r="C4" s="29"/>
      <c r="D4" s="29"/>
      <c r="E4" s="29"/>
      <c r="F4" s="29"/>
      <c r="G4" s="29"/>
      <c r="H4" s="29"/>
      <c r="I4" s="29"/>
      <c r="J4" s="29"/>
      <c r="K4" s="29"/>
      <c r="L4" s="29"/>
      <c r="M4" s="29"/>
      <c r="N4" s="29"/>
      <c r="O4" s="29"/>
      <c r="P4" s="29"/>
    </row>
    <row r="5" spans="1:16">
      <c r="A5" s="29" t="s">
        <v>11</v>
      </c>
      <c r="B5" s="29" t="s">
        <v>526</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37</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treatment of aluminium, wing, airframe, conventional, Medium-Term</v>
      </c>
      <c r="B12" s="31">
        <v>1</v>
      </c>
      <c r="C12" s="31"/>
      <c r="D12" s="31" t="s">
        <v>37</v>
      </c>
      <c r="E12" s="29" t="s">
        <v>2</v>
      </c>
      <c r="F12" s="29" t="s">
        <v>527</v>
      </c>
      <c r="G12" s="31" t="s">
        <v>57</v>
      </c>
      <c r="H12" s="29" t="s">
        <v>30</v>
      </c>
      <c r="I12" s="29">
        <v>0</v>
      </c>
      <c r="J12" s="31" t="s">
        <v>31</v>
      </c>
      <c r="K12" s="31" t="s">
        <v>31</v>
      </c>
      <c r="L12" s="31" t="s">
        <v>31</v>
      </c>
      <c r="M12" s="31" t="s">
        <v>31</v>
      </c>
      <c r="N12" s="31" t="s">
        <v>31</v>
      </c>
      <c r="O12" s="31" t="s">
        <v>528</v>
      </c>
      <c r="P12" s="29"/>
    </row>
    <row r="13" spans="1:16" ht="15.75">
      <c r="A13" t="s">
        <v>263</v>
      </c>
      <c r="B13" s="22">
        <v>0.7</v>
      </c>
      <c r="C13" s="31"/>
      <c r="D13" s="31" t="s">
        <v>37</v>
      </c>
      <c r="E13" s="37" t="s">
        <v>38</v>
      </c>
      <c r="F13" s="29" t="s">
        <v>527</v>
      </c>
      <c r="G13" s="31" t="s">
        <v>130</v>
      </c>
      <c r="H13" s="29" t="s">
        <v>33</v>
      </c>
      <c r="I13" s="29">
        <v>0</v>
      </c>
      <c r="J13" s="31" t="s">
        <v>31</v>
      </c>
      <c r="K13" s="31" t="s">
        <v>31</v>
      </c>
      <c r="L13" s="31" t="s">
        <v>31</v>
      </c>
      <c r="M13" s="31" t="s">
        <v>31</v>
      </c>
      <c r="N13" s="31" t="s">
        <v>31</v>
      </c>
      <c r="O13" s="29"/>
      <c r="P13" s="29"/>
    </row>
    <row r="14" spans="1:16" ht="15.75">
      <c r="A14" t="s">
        <v>266</v>
      </c>
      <c r="B14" s="22">
        <v>0.7</v>
      </c>
      <c r="C14" s="23" t="s">
        <v>267</v>
      </c>
      <c r="D14" t="s">
        <v>37</v>
      </c>
      <c r="E14" s="36" t="s">
        <v>38</v>
      </c>
      <c r="F14" s="29" t="s">
        <v>527</v>
      </c>
      <c r="G14" t="s">
        <v>130</v>
      </c>
      <c r="H14" s="29" t="s">
        <v>33</v>
      </c>
      <c r="I14" s="29">
        <v>0</v>
      </c>
      <c r="J14" s="31" t="s">
        <v>31</v>
      </c>
      <c r="K14" s="31" t="s">
        <v>31</v>
      </c>
      <c r="L14" s="31" t="s">
        <v>31</v>
      </c>
      <c r="M14" s="31" t="s">
        <v>31</v>
      </c>
      <c r="N14" s="31" t="s">
        <v>31</v>
      </c>
      <c r="O14" s="31" t="s">
        <v>505</v>
      </c>
    </row>
    <row r="15" spans="1:16" ht="15.75">
      <c r="A15" t="s">
        <v>359</v>
      </c>
      <c r="B15" s="22">
        <f>0.7*0.9</f>
        <v>0.63</v>
      </c>
      <c r="D15" t="s">
        <v>37</v>
      </c>
      <c r="E15" s="36" t="s">
        <v>38</v>
      </c>
      <c r="F15" s="29" t="s">
        <v>527</v>
      </c>
      <c r="G15" t="s">
        <v>57</v>
      </c>
      <c r="H15" s="29" t="s">
        <v>269</v>
      </c>
      <c r="I15" s="29">
        <v>0</v>
      </c>
      <c r="J15" s="31" t="s">
        <v>31</v>
      </c>
      <c r="K15" s="31" t="s">
        <v>31</v>
      </c>
      <c r="L15" s="31" t="s">
        <v>31</v>
      </c>
      <c r="M15" s="31" t="s">
        <v>31</v>
      </c>
      <c r="N15" s="31" t="s">
        <v>31</v>
      </c>
      <c r="O15" s="29"/>
      <c r="P15" s="31" t="s">
        <v>529</v>
      </c>
    </row>
    <row r="16" spans="1:16" ht="15.75">
      <c r="A16" t="s">
        <v>489</v>
      </c>
      <c r="B16" s="22">
        <f>-(1-B15)</f>
        <v>-0.37</v>
      </c>
      <c r="D16" t="s">
        <v>37</v>
      </c>
      <c r="E16" s="35" t="s">
        <v>38</v>
      </c>
      <c r="F16" s="29" t="s">
        <v>527</v>
      </c>
      <c r="G16" t="s">
        <v>57</v>
      </c>
      <c r="H16" t="s">
        <v>33</v>
      </c>
      <c r="I16">
        <v>0</v>
      </c>
      <c r="J16" t="s">
        <v>31</v>
      </c>
      <c r="K16" t="s">
        <v>31</v>
      </c>
      <c r="L16" t="s">
        <v>31</v>
      </c>
      <c r="M16" t="s">
        <v>31</v>
      </c>
      <c r="N16" t="s">
        <v>31</v>
      </c>
      <c r="O16" s="17"/>
      <c r="P16" s="29"/>
    </row>
    <row r="17" spans="1:16" s="28" customFormat="1" ht="15.75">
      <c r="A17" s="25" t="s">
        <v>5</v>
      </c>
      <c r="B17" s="25" t="s">
        <v>530</v>
      </c>
      <c r="C17" s="25"/>
      <c r="D17" s="26"/>
      <c r="E17" s="27"/>
      <c r="F17" s="27"/>
      <c r="G17" s="27"/>
      <c r="H17" s="27"/>
      <c r="I17" s="27"/>
      <c r="J17" s="27"/>
      <c r="K17" s="27"/>
      <c r="L17" s="27"/>
      <c r="M17" s="27"/>
      <c r="N17" s="27"/>
      <c r="O17" s="27"/>
      <c r="P17" s="27"/>
    </row>
    <row r="18" spans="1:16">
      <c r="A18" s="29" t="s">
        <v>7</v>
      </c>
      <c r="B18" s="29" t="s">
        <v>485</v>
      </c>
      <c r="C18" s="29"/>
      <c r="D18" s="29"/>
      <c r="E18" s="29"/>
      <c r="F18" s="29"/>
      <c r="G18" s="29"/>
      <c r="H18" s="29"/>
      <c r="I18" s="29"/>
      <c r="J18" s="29"/>
      <c r="K18" s="29"/>
      <c r="L18" s="29"/>
      <c r="M18" s="29"/>
      <c r="N18" s="29"/>
      <c r="O18" s="29"/>
      <c r="P18" s="29"/>
    </row>
    <row r="19" spans="1:16">
      <c r="A19" s="29" t="s">
        <v>9</v>
      </c>
      <c r="B19" s="30" t="s">
        <v>531</v>
      </c>
      <c r="C19" s="29"/>
      <c r="D19" s="29"/>
      <c r="E19" s="29"/>
      <c r="F19" s="29"/>
      <c r="G19" s="29"/>
      <c r="H19" s="29"/>
      <c r="I19" s="29"/>
      <c r="J19" s="29"/>
      <c r="K19" s="29"/>
      <c r="L19" s="29"/>
      <c r="M19" s="29"/>
      <c r="N19" s="29"/>
      <c r="O19" s="29"/>
      <c r="P19" s="29"/>
    </row>
    <row r="20" spans="1:16">
      <c r="A20" s="29" t="s">
        <v>11</v>
      </c>
      <c r="B20" s="29" t="s">
        <v>526</v>
      </c>
      <c r="C20" s="29"/>
      <c r="D20" s="29"/>
      <c r="E20" s="29"/>
      <c r="F20" s="29"/>
      <c r="G20" s="29"/>
      <c r="H20" s="29"/>
      <c r="I20" s="29"/>
      <c r="J20" s="29"/>
      <c r="K20" s="29"/>
      <c r="L20" s="29"/>
      <c r="M20" s="29"/>
      <c r="N20" s="29"/>
      <c r="O20" s="29"/>
      <c r="P20" s="29"/>
    </row>
    <row r="21" spans="1:16">
      <c r="A21" s="29" t="s">
        <v>13</v>
      </c>
      <c r="B21" s="29" t="s">
        <v>57</v>
      </c>
      <c r="C21" s="29"/>
      <c r="D21" s="29"/>
      <c r="E21" s="29"/>
      <c r="F21" s="29"/>
      <c r="G21" s="29"/>
      <c r="H21" s="29"/>
      <c r="I21" s="29"/>
      <c r="J21" s="29"/>
      <c r="K21" s="29"/>
      <c r="L21" s="29"/>
      <c r="M21" s="29"/>
      <c r="N21" s="29"/>
      <c r="O21" s="29"/>
      <c r="P21" s="29"/>
    </row>
    <row r="22" spans="1:16">
      <c r="A22" s="29" t="s">
        <v>15</v>
      </c>
      <c r="B22" s="29">
        <v>1</v>
      </c>
      <c r="C22" s="29"/>
      <c r="D22" s="29"/>
      <c r="E22" s="29"/>
      <c r="F22" s="29"/>
      <c r="G22" s="29"/>
      <c r="H22" s="29"/>
      <c r="I22" s="29"/>
      <c r="J22" s="29"/>
      <c r="K22" s="29"/>
      <c r="L22" s="29"/>
      <c r="M22" s="29"/>
      <c r="N22" s="29"/>
      <c r="O22" s="29"/>
      <c r="P22" s="29"/>
    </row>
    <row r="23" spans="1:16">
      <c r="A23" s="29" t="s">
        <v>16</v>
      </c>
      <c r="B23" s="29" t="s">
        <v>17</v>
      </c>
      <c r="C23" s="29"/>
      <c r="D23" s="29"/>
      <c r="E23" s="29"/>
      <c r="F23" s="29"/>
      <c r="G23" s="29"/>
      <c r="H23" s="29"/>
      <c r="I23" s="29"/>
      <c r="J23" s="29"/>
      <c r="K23" s="29"/>
      <c r="L23" s="29"/>
      <c r="M23" s="29"/>
      <c r="N23" s="29"/>
      <c r="O23" s="29"/>
      <c r="P23" s="29"/>
    </row>
    <row r="24" spans="1:16" ht="15.75">
      <c r="A24" s="29" t="s">
        <v>18</v>
      </c>
      <c r="B24" s="31" t="s">
        <v>37</v>
      </c>
      <c r="C24" s="29"/>
      <c r="D24" s="29"/>
      <c r="E24" s="29" t="s">
        <v>226</v>
      </c>
      <c r="F24" s="29"/>
      <c r="G24" s="29"/>
      <c r="H24" s="29"/>
      <c r="I24" s="29"/>
      <c r="J24" s="29"/>
      <c r="K24" s="29"/>
      <c r="L24" s="29"/>
      <c r="M24" s="29"/>
      <c r="N24" s="29"/>
      <c r="O24" s="29"/>
      <c r="P24" s="29"/>
    </row>
    <row r="25" spans="1:16" ht="15.75">
      <c r="A25" s="32" t="s">
        <v>19</v>
      </c>
      <c r="B25" s="29"/>
      <c r="C25" s="29"/>
      <c r="D25" s="29"/>
      <c r="E25" s="29"/>
      <c r="F25" s="29"/>
      <c r="G25" s="29"/>
      <c r="H25" s="29"/>
      <c r="I25" s="29"/>
      <c r="J25" s="29"/>
      <c r="K25" s="29"/>
      <c r="L25" s="29"/>
      <c r="M25" s="29"/>
      <c r="N25" s="29"/>
      <c r="O25" s="29"/>
      <c r="P25" s="29"/>
    </row>
    <row r="26" spans="1:16"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6" ht="15.75">
      <c r="A27" s="31" t="str">
        <f>B17</f>
        <v>treatment of CFRP, wing, airframe, conventional, Medium-Term</v>
      </c>
      <c r="B27" s="31">
        <v>1</v>
      </c>
      <c r="C27" s="31"/>
      <c r="D27" s="31" t="s">
        <v>37</v>
      </c>
      <c r="E27" s="29" t="s">
        <v>2</v>
      </c>
      <c r="F27" s="29" t="s">
        <v>527</v>
      </c>
      <c r="G27" s="31" t="s">
        <v>57</v>
      </c>
      <c r="H27" s="29" t="s">
        <v>30</v>
      </c>
      <c r="I27" s="29">
        <v>0</v>
      </c>
      <c r="J27" s="31" t="s">
        <v>31</v>
      </c>
      <c r="K27" s="31" t="s">
        <v>31</v>
      </c>
      <c r="L27" s="31" t="s">
        <v>31</v>
      </c>
      <c r="M27" s="31" t="s">
        <v>31</v>
      </c>
      <c r="N27" s="31" t="s">
        <v>31</v>
      </c>
      <c r="O27" s="31" t="s">
        <v>532</v>
      </c>
      <c r="P27" s="29"/>
    </row>
    <row r="28" spans="1:16" ht="15.75">
      <c r="A28" s="35" t="s">
        <v>493</v>
      </c>
      <c r="B28">
        <v>-0.5</v>
      </c>
      <c r="D28" t="s">
        <v>37</v>
      </c>
      <c r="E28" s="36" t="s">
        <v>38</v>
      </c>
      <c r="F28" s="29" t="s">
        <v>527</v>
      </c>
      <c r="G28" t="s">
        <v>130</v>
      </c>
      <c r="H28" t="s">
        <v>33</v>
      </c>
      <c r="I28" s="29">
        <v>0</v>
      </c>
      <c r="J28" s="31" t="s">
        <v>31</v>
      </c>
      <c r="K28" s="31" t="s">
        <v>31</v>
      </c>
      <c r="L28" s="31" t="s">
        <v>31</v>
      </c>
      <c r="M28" s="31" t="s">
        <v>31</v>
      </c>
      <c r="N28" s="31" t="s">
        <v>31</v>
      </c>
      <c r="O28" s="31" t="s">
        <v>495</v>
      </c>
      <c r="P28" s="31" t="s">
        <v>496</v>
      </c>
    </row>
    <row r="29" spans="1:16" ht="15.75">
      <c r="A29" t="s">
        <v>399</v>
      </c>
      <c r="B29">
        <f>B30*0.277777777</f>
        <v>2.415277771015</v>
      </c>
      <c r="D29" t="s">
        <v>78</v>
      </c>
      <c r="E29" s="36" t="s">
        <v>38</v>
      </c>
      <c r="F29" s="29" t="s">
        <v>527</v>
      </c>
      <c r="G29" t="s">
        <v>57</v>
      </c>
      <c r="H29" s="29" t="s">
        <v>269</v>
      </c>
      <c r="I29" s="29">
        <v>0</v>
      </c>
      <c r="J29" s="31" t="s">
        <v>31</v>
      </c>
      <c r="K29" s="31" t="s">
        <v>31</v>
      </c>
      <c r="L29" s="31" t="s">
        <v>31</v>
      </c>
      <c r="M29" s="31" t="s">
        <v>31</v>
      </c>
      <c r="N29" s="31" t="s">
        <v>31</v>
      </c>
      <c r="O29" t="s">
        <v>497</v>
      </c>
    </row>
    <row r="30" spans="1:16" ht="15.75">
      <c r="A30" t="s">
        <v>239</v>
      </c>
      <c r="B30">
        <f>-B28*0.5*34.78</f>
        <v>8.6950000000000003</v>
      </c>
      <c r="D30" t="s">
        <v>172</v>
      </c>
      <c r="E30" s="36" t="s">
        <v>38</v>
      </c>
      <c r="F30" s="29" t="s">
        <v>527</v>
      </c>
      <c r="G30" t="s">
        <v>57</v>
      </c>
      <c r="H30" s="29" t="s">
        <v>269</v>
      </c>
      <c r="I30" s="29">
        <v>0</v>
      </c>
      <c r="J30" s="31" t="s">
        <v>31</v>
      </c>
      <c r="K30" s="31" t="s">
        <v>31</v>
      </c>
      <c r="L30" s="31" t="s">
        <v>31</v>
      </c>
      <c r="M30" s="31" t="s">
        <v>31</v>
      </c>
      <c r="N30" s="31" t="s">
        <v>31</v>
      </c>
      <c r="O30" t="s">
        <v>533</v>
      </c>
    </row>
    <row r="31" spans="1:16" ht="15.75">
      <c r="A31" s="35" t="s">
        <v>499</v>
      </c>
      <c r="B31">
        <v>-0.5</v>
      </c>
      <c r="D31" t="s">
        <v>37</v>
      </c>
      <c r="E31" s="36" t="s">
        <v>38</v>
      </c>
      <c r="F31" s="29" t="s">
        <v>527</v>
      </c>
      <c r="G31" t="s">
        <v>130</v>
      </c>
      <c r="H31" s="29" t="s">
        <v>33</v>
      </c>
      <c r="I31" s="29">
        <v>0</v>
      </c>
      <c r="J31" s="31" t="s">
        <v>31</v>
      </c>
      <c r="K31" s="31" t="s">
        <v>31</v>
      </c>
      <c r="L31" s="31" t="s">
        <v>31</v>
      </c>
      <c r="M31" s="31" t="s">
        <v>31</v>
      </c>
      <c r="N31" s="31" t="s">
        <v>31</v>
      </c>
      <c r="O31" s="31" t="s">
        <v>500</v>
      </c>
    </row>
    <row r="32" spans="1:16" s="28" customFormat="1" ht="15.75">
      <c r="A32" s="25" t="s">
        <v>5</v>
      </c>
      <c r="B32" s="25" t="s">
        <v>534</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535</v>
      </c>
      <c r="C34" s="29"/>
      <c r="D34" s="29"/>
      <c r="E34" s="29"/>
      <c r="F34" s="29"/>
      <c r="G34" s="29"/>
      <c r="H34" s="29"/>
      <c r="I34" s="29"/>
      <c r="J34" s="29"/>
      <c r="K34" s="29"/>
      <c r="L34" s="29"/>
      <c r="M34" s="29"/>
      <c r="N34" s="29"/>
      <c r="O34" s="29"/>
      <c r="P34" s="29"/>
    </row>
    <row r="35" spans="1:16">
      <c r="A35" s="29" t="s">
        <v>11</v>
      </c>
      <c r="B35" s="29" t="s">
        <v>526</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steel, wing, airframe, conventional, Medium-Term</v>
      </c>
      <c r="B42" s="31">
        <v>1</v>
      </c>
      <c r="C42" s="31"/>
      <c r="D42" s="31" t="s">
        <v>37</v>
      </c>
      <c r="E42" s="29" t="s">
        <v>2</v>
      </c>
      <c r="F42" s="29" t="s">
        <v>527</v>
      </c>
      <c r="G42" s="31" t="s">
        <v>57</v>
      </c>
      <c r="H42" s="29" t="s">
        <v>30</v>
      </c>
      <c r="I42" s="29">
        <v>0</v>
      </c>
      <c r="J42" s="31" t="s">
        <v>31</v>
      </c>
      <c r="K42" s="31" t="s">
        <v>31</v>
      </c>
      <c r="L42" s="31" t="s">
        <v>31</v>
      </c>
      <c r="M42" s="31" t="s">
        <v>31</v>
      </c>
      <c r="N42" s="31" t="s">
        <v>31</v>
      </c>
      <c r="O42" s="31" t="s">
        <v>536</v>
      </c>
      <c r="P42" s="29"/>
    </row>
    <row r="43" spans="1:16" ht="15.75">
      <c r="A43" t="s">
        <v>302</v>
      </c>
      <c r="B43" s="22">
        <v>0.75</v>
      </c>
      <c r="C43" s="31"/>
      <c r="D43" s="31" t="s">
        <v>37</v>
      </c>
      <c r="E43" s="35" t="s">
        <v>38</v>
      </c>
      <c r="F43" s="29" t="s">
        <v>527</v>
      </c>
      <c r="G43" s="31" t="s">
        <v>130</v>
      </c>
      <c r="H43" s="29" t="s">
        <v>33</v>
      </c>
      <c r="I43" s="29">
        <v>0</v>
      </c>
      <c r="J43" s="31" t="s">
        <v>31</v>
      </c>
      <c r="K43" s="31" t="s">
        <v>31</v>
      </c>
      <c r="L43" s="31" t="s">
        <v>31</v>
      </c>
      <c r="M43" s="31" t="s">
        <v>31</v>
      </c>
      <c r="N43" s="31" t="s">
        <v>31</v>
      </c>
      <c r="O43" s="29"/>
      <c r="P43" s="29"/>
    </row>
    <row r="44" spans="1:16" ht="15.75">
      <c r="A44" t="s">
        <v>537</v>
      </c>
      <c r="B44" s="22">
        <f>0.9*B43</f>
        <v>0.67500000000000004</v>
      </c>
      <c r="C44" s="31"/>
      <c r="D44" s="31" t="s">
        <v>37</v>
      </c>
      <c r="E44" s="35" t="s">
        <v>38</v>
      </c>
      <c r="F44" s="29" t="s">
        <v>527</v>
      </c>
      <c r="G44" s="31" t="s">
        <v>57</v>
      </c>
      <c r="H44" s="29" t="s">
        <v>269</v>
      </c>
      <c r="I44" s="29">
        <v>0</v>
      </c>
      <c r="J44" s="31" t="s">
        <v>31</v>
      </c>
      <c r="K44" s="31" t="s">
        <v>31</v>
      </c>
      <c r="L44" s="31" t="s">
        <v>31</v>
      </c>
      <c r="M44" s="31" t="s">
        <v>31</v>
      </c>
      <c r="N44" s="31" t="s">
        <v>31</v>
      </c>
      <c r="O44" s="29"/>
      <c r="P44" s="29" t="s">
        <v>538</v>
      </c>
    </row>
    <row r="45" spans="1:16" ht="16.5" customHeight="1">
      <c r="A45" t="s">
        <v>489</v>
      </c>
      <c r="B45" s="22">
        <f>-(1-B44)</f>
        <v>-0.32499999999999996</v>
      </c>
      <c r="D45" t="s">
        <v>37</v>
      </c>
      <c r="E45" s="35" t="s">
        <v>38</v>
      </c>
      <c r="F45" s="29" t="s">
        <v>527</v>
      </c>
      <c r="G45" t="s">
        <v>57</v>
      </c>
      <c r="H45" t="s">
        <v>33</v>
      </c>
      <c r="I45">
        <v>0</v>
      </c>
      <c r="J45" t="s">
        <v>31</v>
      </c>
      <c r="K45" t="s">
        <v>31</v>
      </c>
      <c r="L45" t="s">
        <v>31</v>
      </c>
      <c r="M45" t="s">
        <v>31</v>
      </c>
      <c r="N45" t="s">
        <v>31</v>
      </c>
      <c r="O45" s="17"/>
      <c r="P45" s="29" t="s">
        <v>539</v>
      </c>
    </row>
    <row r="46" spans="1:16" s="28" customFormat="1" ht="15.75">
      <c r="A46" s="25" t="s">
        <v>5</v>
      </c>
      <c r="B46" s="25" t="s">
        <v>540</v>
      </c>
      <c r="C46" s="25"/>
      <c r="D46" s="26"/>
      <c r="E46" s="27"/>
      <c r="F46" s="27"/>
      <c r="G46" s="27"/>
      <c r="H46" s="27"/>
      <c r="I46" s="27"/>
      <c r="J46" s="27"/>
      <c r="K46" s="27"/>
      <c r="L46" s="27"/>
      <c r="M46" s="27"/>
      <c r="N46" s="27"/>
      <c r="O46" s="27"/>
      <c r="P46" s="27"/>
    </row>
    <row r="47" spans="1:16">
      <c r="A47" s="29" t="s">
        <v>7</v>
      </c>
      <c r="B47" s="29" t="s">
        <v>485</v>
      </c>
      <c r="C47" s="29"/>
      <c r="D47" s="29"/>
      <c r="E47" s="29"/>
      <c r="F47" s="29"/>
      <c r="G47" s="29"/>
      <c r="H47" s="29"/>
      <c r="I47" s="29"/>
      <c r="J47" s="29"/>
      <c r="K47" s="29"/>
      <c r="L47" s="29"/>
      <c r="M47" s="29"/>
      <c r="N47" s="29"/>
      <c r="O47" s="29"/>
      <c r="P47" s="29"/>
    </row>
    <row r="48" spans="1:16">
      <c r="A48" s="29" t="s">
        <v>9</v>
      </c>
      <c r="B48" s="30" t="s">
        <v>541</v>
      </c>
      <c r="C48" s="29"/>
      <c r="D48" s="29"/>
      <c r="E48" s="29"/>
      <c r="F48" s="29"/>
      <c r="G48" s="29"/>
      <c r="H48" s="29"/>
      <c r="I48" s="29"/>
      <c r="J48" s="29"/>
      <c r="K48" s="29"/>
      <c r="L48" s="29"/>
      <c r="M48" s="29"/>
      <c r="N48" s="29"/>
      <c r="O48" s="29"/>
      <c r="P48" s="29"/>
    </row>
    <row r="49" spans="1:22">
      <c r="A49" s="29" t="s">
        <v>11</v>
      </c>
      <c r="B49" s="29" t="s">
        <v>526</v>
      </c>
      <c r="C49" s="29"/>
      <c r="D49" s="29"/>
      <c r="E49" s="29"/>
      <c r="F49" s="29"/>
      <c r="G49" s="29"/>
      <c r="H49" s="29"/>
      <c r="I49" s="29"/>
      <c r="J49" s="29"/>
      <c r="K49" s="29"/>
      <c r="L49" s="29"/>
      <c r="M49" s="29"/>
      <c r="N49" s="29"/>
      <c r="O49" s="29"/>
      <c r="P49" s="29"/>
    </row>
    <row r="50" spans="1:22">
      <c r="A50" s="29" t="s">
        <v>13</v>
      </c>
      <c r="B50" s="29" t="s">
        <v>57</v>
      </c>
      <c r="C50" s="29"/>
      <c r="D50" s="29"/>
      <c r="E50" s="29"/>
      <c r="F50" s="29"/>
      <c r="G50" s="29"/>
      <c r="H50" s="29"/>
      <c r="I50" s="29"/>
      <c r="J50" s="29"/>
      <c r="K50" s="29"/>
      <c r="L50" s="29"/>
      <c r="M50" s="29"/>
      <c r="N50" s="29"/>
      <c r="O50" s="29"/>
      <c r="P50" s="29"/>
    </row>
    <row r="51" spans="1:22">
      <c r="A51" s="29" t="s">
        <v>15</v>
      </c>
      <c r="B51" s="29">
        <v>1</v>
      </c>
      <c r="C51" s="29"/>
      <c r="D51" s="29"/>
      <c r="E51" s="29"/>
      <c r="F51" s="29"/>
      <c r="G51" s="29"/>
      <c r="H51" s="29"/>
      <c r="I51" s="29"/>
      <c r="J51" s="29"/>
      <c r="K51" s="29"/>
      <c r="L51" s="29"/>
      <c r="M51" s="29"/>
      <c r="N51" s="29"/>
      <c r="O51" s="29"/>
      <c r="P51" s="29"/>
    </row>
    <row r="52" spans="1:22">
      <c r="A52" s="29" t="s">
        <v>16</v>
      </c>
      <c r="B52" s="29" t="s">
        <v>17</v>
      </c>
      <c r="C52" s="29"/>
      <c r="D52" s="29"/>
      <c r="E52" s="29"/>
      <c r="F52" s="29"/>
      <c r="G52" s="29"/>
      <c r="H52" s="29"/>
      <c r="I52" s="29"/>
      <c r="J52" s="29"/>
      <c r="K52" s="29"/>
      <c r="L52" s="29"/>
      <c r="M52" s="29"/>
      <c r="N52" s="29"/>
      <c r="O52" s="29"/>
      <c r="P52" s="29"/>
    </row>
    <row r="53" spans="1:22" ht="15.75">
      <c r="A53" s="29" t="s">
        <v>18</v>
      </c>
      <c r="B53" s="31" t="s">
        <v>37</v>
      </c>
      <c r="C53" s="29"/>
      <c r="D53" s="29"/>
      <c r="E53" s="29" t="s">
        <v>226</v>
      </c>
      <c r="F53" s="29"/>
      <c r="G53" s="29"/>
      <c r="H53" s="29"/>
      <c r="I53" s="29"/>
      <c r="J53" s="29"/>
      <c r="K53" s="29"/>
      <c r="L53" s="29"/>
      <c r="M53" s="29"/>
      <c r="N53" s="29"/>
      <c r="O53" s="29"/>
      <c r="P53" s="29"/>
    </row>
    <row r="54" spans="1:22" ht="15.75">
      <c r="A54" s="32" t="s">
        <v>19</v>
      </c>
      <c r="B54" s="29"/>
      <c r="C54" s="29"/>
      <c r="D54" s="29"/>
      <c r="E54" s="29"/>
      <c r="F54" s="29"/>
      <c r="G54" s="29"/>
      <c r="H54" s="29"/>
      <c r="I54" s="29"/>
      <c r="J54" s="29"/>
      <c r="K54" s="29"/>
      <c r="L54" s="29"/>
      <c r="M54" s="29"/>
      <c r="N54" s="29"/>
      <c r="O54" s="29"/>
      <c r="P54" s="29"/>
    </row>
    <row r="55" spans="1:22" ht="15.75">
      <c r="A55" s="32" t="s">
        <v>20</v>
      </c>
      <c r="B55" s="32" t="s">
        <v>21</v>
      </c>
      <c r="C55" s="32" t="s">
        <v>209</v>
      </c>
      <c r="D55" s="32" t="s">
        <v>18</v>
      </c>
      <c r="E55" s="32" t="s">
        <v>22</v>
      </c>
      <c r="F55" s="32" t="s">
        <v>7</v>
      </c>
      <c r="G55" s="32" t="s">
        <v>13</v>
      </c>
      <c r="H55" s="32" t="s">
        <v>16</v>
      </c>
      <c r="I55" s="32" t="s">
        <v>23</v>
      </c>
      <c r="J55" s="32" t="s">
        <v>24</v>
      </c>
      <c r="K55" s="32" t="s">
        <v>25</v>
      </c>
      <c r="L55" s="32" t="s">
        <v>26</v>
      </c>
      <c r="M55" s="32" t="s">
        <v>27</v>
      </c>
      <c r="N55" s="32" t="s">
        <v>28</v>
      </c>
      <c r="O55" s="32" t="s">
        <v>11</v>
      </c>
      <c r="P55" s="32" t="s">
        <v>483</v>
      </c>
    </row>
    <row r="56" spans="1:22" ht="15.75">
      <c r="A56" s="31" t="str">
        <f>B46</f>
        <v>treatment of titanium, wing, airframe, conventional, Medium-Term</v>
      </c>
      <c r="B56" s="31">
        <v>1</v>
      </c>
      <c r="C56" s="31"/>
      <c r="D56" s="31" t="s">
        <v>37</v>
      </c>
      <c r="E56" s="29" t="s">
        <v>2</v>
      </c>
      <c r="F56" s="29" t="s">
        <v>527</v>
      </c>
      <c r="G56" s="31" t="s">
        <v>57</v>
      </c>
      <c r="H56" s="29" t="s">
        <v>30</v>
      </c>
      <c r="I56" s="29">
        <v>0</v>
      </c>
      <c r="J56" s="31" t="s">
        <v>31</v>
      </c>
      <c r="K56" s="31" t="s">
        <v>31</v>
      </c>
      <c r="L56" s="31" t="s">
        <v>31</v>
      </c>
      <c r="M56" s="31" t="s">
        <v>31</v>
      </c>
      <c r="N56" s="31" t="s">
        <v>31</v>
      </c>
      <c r="O56" s="31" t="s">
        <v>536</v>
      </c>
      <c r="P56" s="29"/>
    </row>
    <row r="57" spans="1:22">
      <c r="A57" t="s">
        <v>77</v>
      </c>
      <c r="B57">
        <f>U57</f>
        <v>9.5000076</v>
      </c>
      <c r="D57" t="s">
        <v>78</v>
      </c>
      <c r="E57" t="s">
        <v>38</v>
      </c>
      <c r="F57" s="29" t="s">
        <v>527</v>
      </c>
      <c r="G57" t="s">
        <v>57</v>
      </c>
      <c r="H57" t="s">
        <v>33</v>
      </c>
      <c r="I57">
        <v>2</v>
      </c>
      <c r="J57">
        <v>9.398101209</v>
      </c>
      <c r="K57">
        <v>0.30331501799999999</v>
      </c>
      <c r="L57" t="s">
        <v>31</v>
      </c>
      <c r="M57" t="s">
        <v>31</v>
      </c>
      <c r="N57" t="s">
        <v>31</v>
      </c>
      <c r="O57" t="s">
        <v>264</v>
      </c>
      <c r="P57" t="s">
        <v>488</v>
      </c>
      <c r="Q57" s="23" t="s">
        <v>542</v>
      </c>
      <c r="S57" s="23">
        <f>114*0.6*0.5</f>
        <v>34.199999999999996</v>
      </c>
      <c r="T57" s="23" t="s">
        <v>237</v>
      </c>
      <c r="U57" s="23">
        <f>S57*0.277778</f>
        <v>9.5000076</v>
      </c>
      <c r="V57" s="23" t="s">
        <v>236</v>
      </c>
    </row>
    <row r="58" spans="1:22">
      <c r="A58" t="s">
        <v>80</v>
      </c>
      <c r="B58">
        <f>U58</f>
        <v>0.59530026109660583</v>
      </c>
      <c r="D58" t="s">
        <v>48</v>
      </c>
      <c r="E58" t="s">
        <v>38</v>
      </c>
      <c r="F58" s="29" t="s">
        <v>527</v>
      </c>
      <c r="G58" t="s">
        <v>235</v>
      </c>
      <c r="H58" t="s">
        <v>33</v>
      </c>
      <c r="I58">
        <v>2</v>
      </c>
      <c r="J58">
        <v>6.6281192500000001</v>
      </c>
      <c r="K58">
        <v>0.30331501799999999</v>
      </c>
      <c r="L58" t="s">
        <v>31</v>
      </c>
      <c r="M58" t="s">
        <v>31</v>
      </c>
      <c r="N58" t="s">
        <v>31</v>
      </c>
      <c r="O58" t="s">
        <v>264</v>
      </c>
      <c r="P58" t="s">
        <v>488</v>
      </c>
      <c r="Q58" s="23" t="s">
        <v>543</v>
      </c>
      <c r="S58" s="23">
        <f>114*0.4*0.5</f>
        <v>22.8</v>
      </c>
      <c r="T58" s="23" t="s">
        <v>237</v>
      </c>
      <c r="U58" s="23">
        <f>S58/38.3</f>
        <v>0.59530026109660583</v>
      </c>
      <c r="V58" s="23" t="s">
        <v>238</v>
      </c>
    </row>
    <row r="59" spans="1:22">
      <c r="A59" s="33" t="s">
        <v>255</v>
      </c>
      <c r="B59" s="34">
        <f>S59</f>
        <v>0.5</v>
      </c>
      <c r="C59" s="34"/>
      <c r="D59" s="23" t="s">
        <v>37</v>
      </c>
      <c r="E59" s="23" t="s">
        <v>38</v>
      </c>
      <c r="F59" s="29" t="s">
        <v>527</v>
      </c>
      <c r="G59" s="23" t="s">
        <v>57</v>
      </c>
      <c r="H59" s="23" t="s">
        <v>269</v>
      </c>
      <c r="I59" s="23">
        <v>2</v>
      </c>
      <c r="J59" s="23">
        <f t="shared" ref="J59" si="0">LN(B59)</f>
        <v>-0.69314718055994529</v>
      </c>
      <c r="K59" s="23">
        <v>0.30331501776206199</v>
      </c>
      <c r="L59" s="23" t="s">
        <v>31</v>
      </c>
      <c r="M59" s="23" t="s">
        <v>31</v>
      </c>
      <c r="N59" s="23" t="s">
        <v>31</v>
      </c>
      <c r="O59" s="23" t="s">
        <v>264</v>
      </c>
      <c r="P59" t="s">
        <v>488</v>
      </c>
      <c r="Q59" s="23"/>
      <c r="R59" s="23"/>
      <c r="S59" s="23">
        <v>0.5</v>
      </c>
      <c r="T59" s="23" t="s">
        <v>240</v>
      </c>
    </row>
    <row r="60" spans="1:22" ht="15.75">
      <c r="A60" t="s">
        <v>489</v>
      </c>
      <c r="B60" s="22">
        <f>-0.5</f>
        <v>-0.5</v>
      </c>
      <c r="D60" t="s">
        <v>37</v>
      </c>
      <c r="E60" s="35" t="s">
        <v>38</v>
      </c>
      <c r="F60" s="29" t="s">
        <v>527</v>
      </c>
      <c r="G60" t="s">
        <v>57</v>
      </c>
      <c r="H60" t="s">
        <v>33</v>
      </c>
      <c r="I60">
        <v>0</v>
      </c>
      <c r="J60" t="s">
        <v>31</v>
      </c>
      <c r="K60" t="s">
        <v>31</v>
      </c>
      <c r="L60" t="s">
        <v>31</v>
      </c>
      <c r="M60" t="s">
        <v>31</v>
      </c>
      <c r="N60" t="s">
        <v>31</v>
      </c>
      <c r="O60" s="17"/>
      <c r="P60" s="29" t="s">
        <v>490</v>
      </c>
    </row>
    <row r="61" spans="1:22" s="28" customFormat="1" ht="15.75">
      <c r="A61" s="25" t="s">
        <v>5</v>
      </c>
      <c r="B61" s="25" t="s">
        <v>544</v>
      </c>
      <c r="C61" s="25"/>
      <c r="D61" s="26"/>
      <c r="E61" s="27"/>
      <c r="F61" s="27"/>
      <c r="G61" s="27"/>
      <c r="H61" s="27"/>
      <c r="I61" s="27"/>
      <c r="J61" s="27"/>
      <c r="K61" s="27"/>
      <c r="L61" s="27"/>
      <c r="M61" s="27"/>
      <c r="N61" s="27"/>
      <c r="O61" s="27"/>
      <c r="P61" s="27"/>
    </row>
    <row r="62" spans="1:22">
      <c r="A62" s="29" t="s">
        <v>7</v>
      </c>
      <c r="B62" s="29" t="s">
        <v>485</v>
      </c>
      <c r="C62" s="29"/>
      <c r="D62" s="29"/>
      <c r="E62" s="29"/>
      <c r="F62" s="29"/>
      <c r="G62" s="29"/>
      <c r="H62" s="29"/>
      <c r="I62" s="29"/>
      <c r="J62" s="29"/>
      <c r="K62" s="29"/>
      <c r="L62" s="29"/>
      <c r="M62" s="29"/>
      <c r="N62" s="29"/>
      <c r="O62" s="29"/>
      <c r="P62" s="29"/>
    </row>
    <row r="63" spans="1:22">
      <c r="A63" s="29" t="s">
        <v>9</v>
      </c>
      <c r="B63" s="30" t="s">
        <v>545</v>
      </c>
      <c r="C63" s="29"/>
      <c r="D63" s="29"/>
      <c r="E63" s="29"/>
      <c r="F63" s="29"/>
      <c r="G63" s="29"/>
      <c r="H63" s="29"/>
      <c r="I63" s="29"/>
      <c r="J63" s="29"/>
      <c r="K63" s="29"/>
      <c r="L63" s="29"/>
      <c r="M63" s="29"/>
      <c r="N63" s="29"/>
      <c r="O63" s="29"/>
      <c r="P63" s="29"/>
    </row>
    <row r="64" spans="1:22">
      <c r="A64" s="29" t="s">
        <v>11</v>
      </c>
      <c r="B64" s="29" t="s">
        <v>526</v>
      </c>
      <c r="C64" s="29"/>
      <c r="D64" s="29"/>
      <c r="E64" s="29"/>
      <c r="F64" s="29"/>
      <c r="G64" s="29"/>
      <c r="H64" s="29"/>
      <c r="I64" s="29"/>
      <c r="J64" s="29"/>
      <c r="K64" s="29"/>
      <c r="L64" s="29"/>
      <c r="M64" s="29"/>
      <c r="N64" s="29"/>
      <c r="O64" s="29"/>
      <c r="P64" s="29"/>
    </row>
    <row r="65" spans="1:16">
      <c r="A65" s="29" t="s">
        <v>13</v>
      </c>
      <c r="B65" s="29" t="s">
        <v>57</v>
      </c>
      <c r="C65" s="29"/>
      <c r="D65" s="29"/>
      <c r="E65" s="29"/>
      <c r="F65" s="29"/>
      <c r="G65" s="29"/>
      <c r="H65" s="29"/>
      <c r="I65" s="29"/>
      <c r="J65" s="29"/>
      <c r="K65" s="29"/>
      <c r="L65" s="29"/>
      <c r="M65" s="29"/>
      <c r="N65" s="29"/>
      <c r="O65" s="29"/>
      <c r="P65" s="29"/>
    </row>
    <row r="66" spans="1:16">
      <c r="A66" s="29" t="s">
        <v>15</v>
      </c>
      <c r="B66" s="29">
        <v>1</v>
      </c>
      <c r="C66" s="29"/>
      <c r="D66" s="29"/>
      <c r="E66" s="29"/>
      <c r="F66" s="29"/>
      <c r="G66" s="29"/>
      <c r="H66" s="29"/>
      <c r="I66" s="29"/>
      <c r="J66" s="29"/>
      <c r="K66" s="29"/>
      <c r="L66" s="29"/>
      <c r="M66" s="29"/>
      <c r="N66" s="29"/>
      <c r="O66" s="29"/>
      <c r="P66" s="29"/>
    </row>
    <row r="67" spans="1:16">
      <c r="A67" s="29" t="s">
        <v>16</v>
      </c>
      <c r="B67" s="29" t="s">
        <v>17</v>
      </c>
      <c r="C67" s="29"/>
      <c r="D67" s="29"/>
      <c r="E67" s="29"/>
      <c r="F67" s="29"/>
      <c r="G67" s="29"/>
      <c r="H67" s="29"/>
      <c r="I67" s="29"/>
      <c r="J67" s="29"/>
      <c r="K67" s="29"/>
      <c r="L67" s="29"/>
      <c r="M67" s="29"/>
      <c r="N67" s="29"/>
      <c r="O67" s="29"/>
      <c r="P67" s="29"/>
    </row>
    <row r="68" spans="1:16" ht="15.75">
      <c r="A68" s="29" t="s">
        <v>18</v>
      </c>
      <c r="B68" s="31" t="s">
        <v>37</v>
      </c>
      <c r="C68" s="29"/>
      <c r="D68" s="29"/>
      <c r="E68" s="29" t="s">
        <v>226</v>
      </c>
      <c r="F68" s="29"/>
      <c r="G68" s="29"/>
      <c r="H68" s="29"/>
      <c r="I68" s="29"/>
      <c r="J68" s="29"/>
      <c r="K68" s="29"/>
      <c r="L68" s="29"/>
      <c r="M68" s="29"/>
      <c r="N68" s="29"/>
      <c r="O68" s="29"/>
      <c r="P68" s="29"/>
    </row>
    <row r="69" spans="1:16" ht="15.75">
      <c r="A69" s="32" t="s">
        <v>19</v>
      </c>
      <c r="B69" s="29"/>
      <c r="C69" s="29"/>
      <c r="D69" s="29"/>
      <c r="E69" s="29"/>
      <c r="F69" s="29"/>
      <c r="G69" s="29"/>
      <c r="H69" s="29"/>
      <c r="I69" s="29"/>
      <c r="J69" s="29"/>
      <c r="K69" s="29"/>
      <c r="L69" s="29"/>
      <c r="M69" s="29"/>
      <c r="N69" s="29"/>
      <c r="O69" s="29"/>
      <c r="P69" s="29"/>
    </row>
    <row r="70" spans="1:16"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6" ht="15.75">
      <c r="A71" s="31" t="str">
        <f>B61</f>
        <v>treatment of aluminium, tail, airframe, conventional, Medium-Term</v>
      </c>
      <c r="B71" s="31">
        <v>1</v>
      </c>
      <c r="C71" s="31"/>
      <c r="D71" s="31" t="s">
        <v>37</v>
      </c>
      <c r="E71" s="29" t="s">
        <v>2</v>
      </c>
      <c r="F71" s="29" t="s">
        <v>527</v>
      </c>
      <c r="G71" s="31" t="s">
        <v>57</v>
      </c>
      <c r="H71" s="29" t="s">
        <v>30</v>
      </c>
      <c r="I71" s="29">
        <v>0</v>
      </c>
      <c r="J71" s="31" t="s">
        <v>31</v>
      </c>
      <c r="K71" s="31" t="s">
        <v>31</v>
      </c>
      <c r="L71" s="31" t="s">
        <v>31</v>
      </c>
      <c r="M71" s="31" t="s">
        <v>31</v>
      </c>
      <c r="N71" s="31" t="s">
        <v>31</v>
      </c>
      <c r="O71" s="31" t="s">
        <v>546</v>
      </c>
      <c r="P71" s="29"/>
    </row>
    <row r="72" spans="1:16" ht="15.75">
      <c r="A72" t="s">
        <v>263</v>
      </c>
      <c r="B72" s="22">
        <v>0.64</v>
      </c>
      <c r="C72" s="31"/>
      <c r="D72" s="31" t="s">
        <v>37</v>
      </c>
      <c r="E72" s="37" t="s">
        <v>38</v>
      </c>
      <c r="F72" s="29" t="s">
        <v>527</v>
      </c>
      <c r="G72" s="31" t="s">
        <v>130</v>
      </c>
      <c r="H72" s="29" t="s">
        <v>33</v>
      </c>
      <c r="I72" s="29">
        <v>0</v>
      </c>
      <c r="J72" s="31" t="s">
        <v>31</v>
      </c>
      <c r="K72" s="31" t="s">
        <v>31</v>
      </c>
      <c r="L72" s="31" t="s">
        <v>31</v>
      </c>
      <c r="M72" s="31" t="s">
        <v>31</v>
      </c>
      <c r="N72" s="31" t="s">
        <v>31</v>
      </c>
      <c r="O72" s="29"/>
      <c r="P72" s="29"/>
    </row>
    <row r="73" spans="1:16" ht="15.75">
      <c r="A73" t="s">
        <v>266</v>
      </c>
      <c r="B73" s="22">
        <v>0.64</v>
      </c>
      <c r="C73" s="23" t="s">
        <v>267</v>
      </c>
      <c r="D73" t="s">
        <v>37</v>
      </c>
      <c r="E73" s="36" t="s">
        <v>38</v>
      </c>
      <c r="F73" s="29" t="s">
        <v>527</v>
      </c>
      <c r="G73" s="31" t="s">
        <v>130</v>
      </c>
      <c r="H73" s="29" t="s">
        <v>33</v>
      </c>
      <c r="I73" s="29">
        <v>0</v>
      </c>
      <c r="J73" s="31" t="s">
        <v>31</v>
      </c>
      <c r="K73" s="31" t="s">
        <v>31</v>
      </c>
      <c r="L73" s="31" t="s">
        <v>31</v>
      </c>
      <c r="M73" s="31" t="s">
        <v>31</v>
      </c>
      <c r="N73" s="31" t="s">
        <v>31</v>
      </c>
      <c r="O73" s="31" t="s">
        <v>505</v>
      </c>
    </row>
    <row r="74" spans="1:16" ht="15.75">
      <c r="A74" t="s">
        <v>359</v>
      </c>
      <c r="B74" s="22">
        <f>B73*0.9</f>
        <v>0.57600000000000007</v>
      </c>
      <c r="D74" t="s">
        <v>37</v>
      </c>
      <c r="E74" s="36" t="s">
        <v>38</v>
      </c>
      <c r="F74" s="29" t="s">
        <v>527</v>
      </c>
      <c r="G74" t="s">
        <v>57</v>
      </c>
      <c r="H74" s="29" t="s">
        <v>269</v>
      </c>
      <c r="I74" s="29">
        <v>0</v>
      </c>
      <c r="J74" s="31" t="s">
        <v>31</v>
      </c>
      <c r="K74" s="31" t="s">
        <v>31</v>
      </c>
      <c r="L74" s="31" t="s">
        <v>31</v>
      </c>
      <c r="M74" s="31" t="s">
        <v>31</v>
      </c>
      <c r="N74" s="31" t="s">
        <v>31</v>
      </c>
      <c r="O74" s="29"/>
      <c r="P74" s="31" t="s">
        <v>529</v>
      </c>
    </row>
    <row r="75" spans="1:16" ht="15.75">
      <c r="A75" t="s">
        <v>489</v>
      </c>
      <c r="B75" s="22">
        <f>-(1-B74)</f>
        <v>-0.42399999999999993</v>
      </c>
      <c r="D75" t="s">
        <v>37</v>
      </c>
      <c r="E75" s="35" t="s">
        <v>38</v>
      </c>
      <c r="F75" s="29" t="s">
        <v>527</v>
      </c>
      <c r="G75" t="s">
        <v>57</v>
      </c>
      <c r="H75" t="s">
        <v>33</v>
      </c>
      <c r="I75">
        <v>0</v>
      </c>
      <c r="J75" t="s">
        <v>31</v>
      </c>
      <c r="K75" t="s">
        <v>31</v>
      </c>
      <c r="L75" t="s">
        <v>31</v>
      </c>
      <c r="M75" t="s">
        <v>31</v>
      </c>
      <c r="N75" t="s">
        <v>31</v>
      </c>
      <c r="O75" s="17"/>
      <c r="P75" s="29"/>
    </row>
    <row r="76" spans="1:16" s="28" customFormat="1" ht="15.75">
      <c r="A76" s="25" t="s">
        <v>5</v>
      </c>
      <c r="B76" s="25" t="s">
        <v>547</v>
      </c>
      <c r="C76" s="25"/>
      <c r="D76" s="26"/>
      <c r="E76" s="27"/>
      <c r="F76" s="27"/>
      <c r="G76" s="27"/>
      <c r="H76" s="27"/>
      <c r="I76" s="27"/>
      <c r="J76" s="27"/>
      <c r="K76" s="27"/>
      <c r="L76" s="27"/>
      <c r="M76" s="27"/>
      <c r="N76" s="27"/>
      <c r="O76" s="27"/>
      <c r="P76" s="27"/>
    </row>
    <row r="77" spans="1:16">
      <c r="A77" s="29" t="s">
        <v>7</v>
      </c>
      <c r="B77" s="29" t="s">
        <v>485</v>
      </c>
      <c r="C77" s="29"/>
      <c r="D77" s="29"/>
      <c r="E77" s="29"/>
      <c r="F77" s="29"/>
      <c r="G77" s="29"/>
      <c r="H77" s="29"/>
      <c r="I77" s="29"/>
      <c r="J77" s="29"/>
      <c r="K77" s="29"/>
      <c r="L77" s="29"/>
      <c r="M77" s="29"/>
      <c r="N77" s="29"/>
      <c r="O77" s="29"/>
      <c r="P77" s="29"/>
    </row>
    <row r="78" spans="1:16">
      <c r="A78" s="29" t="s">
        <v>9</v>
      </c>
      <c r="B78" s="30" t="s">
        <v>548</v>
      </c>
      <c r="C78" s="29"/>
      <c r="D78" s="29"/>
      <c r="E78" s="29"/>
      <c r="F78" s="29"/>
      <c r="G78" s="29"/>
      <c r="H78" s="29"/>
      <c r="I78" s="29"/>
      <c r="J78" s="29"/>
      <c r="K78" s="29"/>
      <c r="L78" s="29"/>
      <c r="M78" s="29"/>
      <c r="N78" s="29"/>
      <c r="O78" s="29"/>
      <c r="P78" s="29"/>
    </row>
    <row r="79" spans="1:16">
      <c r="A79" s="29" t="s">
        <v>11</v>
      </c>
      <c r="B79" s="29" t="s">
        <v>549</v>
      </c>
      <c r="C79" s="29"/>
      <c r="D79" s="29"/>
      <c r="E79" s="29"/>
      <c r="F79" s="29"/>
      <c r="G79" s="29"/>
      <c r="H79" s="29"/>
      <c r="I79" s="29"/>
      <c r="J79" s="29"/>
      <c r="K79" s="29"/>
      <c r="L79" s="29"/>
      <c r="M79" s="29"/>
      <c r="N79" s="29"/>
      <c r="O79" s="29"/>
      <c r="P79" s="29"/>
    </row>
    <row r="80" spans="1:16">
      <c r="A80" s="29" t="s">
        <v>13</v>
      </c>
      <c r="B80" s="29" t="s">
        <v>57</v>
      </c>
      <c r="C80" s="29"/>
      <c r="D80" s="29"/>
      <c r="E80" s="29"/>
      <c r="F80" s="29"/>
      <c r="G80" s="29"/>
      <c r="H80" s="29"/>
      <c r="I80" s="29"/>
      <c r="J80" s="29"/>
      <c r="K80" s="29"/>
      <c r="L80" s="29"/>
      <c r="M80" s="29"/>
      <c r="N80" s="29"/>
      <c r="O80" s="29"/>
      <c r="P80" s="29"/>
    </row>
    <row r="81" spans="1:16">
      <c r="A81" s="29" t="s">
        <v>15</v>
      </c>
      <c r="B81" s="29">
        <v>1</v>
      </c>
      <c r="C81" s="29"/>
      <c r="D81" s="29"/>
      <c r="E81" s="29"/>
      <c r="F81" s="29"/>
      <c r="G81" s="29"/>
      <c r="H81" s="29"/>
      <c r="I81" s="29"/>
      <c r="J81" s="29"/>
      <c r="K81" s="29"/>
      <c r="L81" s="29"/>
      <c r="M81" s="29"/>
      <c r="N81" s="29"/>
      <c r="O81" s="29"/>
      <c r="P81" s="29"/>
    </row>
    <row r="82" spans="1:16">
      <c r="A82" s="29" t="s">
        <v>16</v>
      </c>
      <c r="B82" s="29" t="s">
        <v>17</v>
      </c>
      <c r="C82" s="29"/>
      <c r="D82" s="29"/>
      <c r="E82" s="29"/>
      <c r="F82" s="29"/>
      <c r="G82" s="29"/>
      <c r="H82" s="29"/>
      <c r="I82" s="29"/>
      <c r="J82" s="29"/>
      <c r="K82" s="29"/>
      <c r="L82" s="29"/>
      <c r="M82" s="29"/>
      <c r="N82" s="29"/>
      <c r="O82" s="29"/>
      <c r="P82" s="29"/>
    </row>
    <row r="83" spans="1:16" ht="15.75">
      <c r="A83" s="29" t="s">
        <v>18</v>
      </c>
      <c r="B83" s="31" t="s">
        <v>37</v>
      </c>
      <c r="C83" s="29"/>
      <c r="D83" s="29"/>
      <c r="E83" s="29" t="s">
        <v>226</v>
      </c>
      <c r="F83" s="29"/>
      <c r="G83" s="29"/>
      <c r="H83" s="29"/>
      <c r="I83" s="29"/>
      <c r="J83" s="29"/>
      <c r="K83" s="29"/>
      <c r="L83" s="29"/>
      <c r="M83" s="29"/>
      <c r="N83" s="29"/>
      <c r="O83" s="29"/>
      <c r="P83" s="29"/>
    </row>
    <row r="84" spans="1:16" ht="15.75">
      <c r="A84" s="32" t="s">
        <v>19</v>
      </c>
      <c r="B84" s="29"/>
      <c r="C84" s="29"/>
      <c r="D84" s="29"/>
      <c r="E84" s="29"/>
      <c r="F84" s="29"/>
      <c r="G84" s="29"/>
      <c r="H84" s="29"/>
      <c r="I84" s="29"/>
      <c r="J84" s="29"/>
      <c r="K84" s="29"/>
      <c r="L84" s="29"/>
      <c r="M84" s="29"/>
      <c r="N84" s="29"/>
      <c r="O84" s="29"/>
      <c r="P84" s="29"/>
    </row>
    <row r="85" spans="1:16" ht="15.75">
      <c r="A85" s="32" t="s">
        <v>20</v>
      </c>
      <c r="B85" s="32" t="s">
        <v>21</v>
      </c>
      <c r="C85" s="32" t="s">
        <v>209</v>
      </c>
      <c r="D85" s="32" t="s">
        <v>18</v>
      </c>
      <c r="E85" s="32" t="s">
        <v>22</v>
      </c>
      <c r="F85" s="32" t="s">
        <v>7</v>
      </c>
      <c r="G85" s="32" t="s">
        <v>13</v>
      </c>
      <c r="H85" s="32" t="s">
        <v>16</v>
      </c>
      <c r="I85" s="32" t="s">
        <v>23</v>
      </c>
      <c r="J85" s="32" t="s">
        <v>24</v>
      </c>
      <c r="K85" s="32" t="s">
        <v>25</v>
      </c>
      <c r="L85" s="32" t="s">
        <v>26</v>
      </c>
      <c r="M85" s="32" t="s">
        <v>27</v>
      </c>
      <c r="N85" s="32" t="s">
        <v>28</v>
      </c>
      <c r="O85" s="32" t="s">
        <v>11</v>
      </c>
      <c r="P85" s="32" t="s">
        <v>483</v>
      </c>
    </row>
    <row r="86" spans="1:16" ht="15.75">
      <c r="A86" s="31" t="str">
        <f>B76</f>
        <v>treatment of composites, tail, airframe, conventional, Medium-Term</v>
      </c>
      <c r="B86" s="31">
        <v>1</v>
      </c>
      <c r="C86" s="31"/>
      <c r="D86" s="31" t="s">
        <v>37</v>
      </c>
      <c r="E86" s="29" t="s">
        <v>2</v>
      </c>
      <c r="F86" s="29" t="s">
        <v>527</v>
      </c>
      <c r="G86" s="31" t="s">
        <v>57</v>
      </c>
      <c r="H86" s="29" t="s">
        <v>30</v>
      </c>
      <c r="I86" s="29">
        <v>0</v>
      </c>
      <c r="J86" s="31" t="s">
        <v>31</v>
      </c>
      <c r="K86" s="31" t="s">
        <v>31</v>
      </c>
      <c r="L86" s="31" t="s">
        <v>31</v>
      </c>
      <c r="M86" s="31" t="s">
        <v>31</v>
      </c>
      <c r="N86" s="31" t="s">
        <v>31</v>
      </c>
      <c r="O86" s="31" t="s">
        <v>550</v>
      </c>
      <c r="P86" s="29"/>
    </row>
    <row r="87" spans="1:16" ht="15.75">
      <c r="A87" s="35" t="s">
        <v>493</v>
      </c>
      <c r="B87">
        <v>-0.5</v>
      </c>
      <c r="D87" t="s">
        <v>37</v>
      </c>
      <c r="E87" s="36" t="s">
        <v>38</v>
      </c>
      <c r="F87" s="29" t="s">
        <v>527</v>
      </c>
      <c r="G87" t="s">
        <v>130</v>
      </c>
      <c r="H87" t="s">
        <v>33</v>
      </c>
      <c r="I87" s="29">
        <v>0</v>
      </c>
      <c r="J87" s="31" t="s">
        <v>31</v>
      </c>
      <c r="K87" s="31" t="s">
        <v>31</v>
      </c>
      <c r="L87" s="31" t="s">
        <v>31</v>
      </c>
      <c r="M87" s="31" t="s">
        <v>31</v>
      </c>
      <c r="N87" s="31" t="s">
        <v>31</v>
      </c>
      <c r="O87" s="31" t="s">
        <v>495</v>
      </c>
      <c r="P87" s="31" t="s">
        <v>496</v>
      </c>
    </row>
    <row r="88" spans="1:16" ht="15.75">
      <c r="A88" t="s">
        <v>399</v>
      </c>
      <c r="B88">
        <f>B89*0.277777777</f>
        <v>2.415277771015</v>
      </c>
      <c r="D88" t="s">
        <v>78</v>
      </c>
      <c r="E88" s="36" t="s">
        <v>38</v>
      </c>
      <c r="F88" s="29" t="s">
        <v>527</v>
      </c>
      <c r="G88" t="s">
        <v>57</v>
      </c>
      <c r="H88" s="29" t="s">
        <v>269</v>
      </c>
      <c r="I88" s="29">
        <v>0</v>
      </c>
      <c r="J88" s="31" t="s">
        <v>31</v>
      </c>
      <c r="K88" s="31" t="s">
        <v>31</v>
      </c>
      <c r="L88" s="31" t="s">
        <v>31</v>
      </c>
      <c r="M88" s="31" t="s">
        <v>31</v>
      </c>
      <c r="N88" s="31" t="s">
        <v>31</v>
      </c>
      <c r="O88" t="s">
        <v>497</v>
      </c>
    </row>
    <row r="89" spans="1:16" ht="15.75">
      <c r="A89" t="s">
        <v>239</v>
      </c>
      <c r="B89">
        <f>-B87*0.5*34.78</f>
        <v>8.6950000000000003</v>
      </c>
      <c r="D89" t="s">
        <v>172</v>
      </c>
      <c r="E89" s="36" t="s">
        <v>38</v>
      </c>
      <c r="F89" s="29" t="s">
        <v>527</v>
      </c>
      <c r="G89" t="s">
        <v>57</v>
      </c>
      <c r="H89" s="29" t="s">
        <v>269</v>
      </c>
      <c r="I89" s="29">
        <v>0</v>
      </c>
      <c r="J89" s="31" t="s">
        <v>31</v>
      </c>
      <c r="K89" s="31" t="s">
        <v>31</v>
      </c>
      <c r="L89" s="31" t="s">
        <v>31</v>
      </c>
      <c r="M89" s="31" t="s">
        <v>31</v>
      </c>
      <c r="N89" s="31" t="s">
        <v>31</v>
      </c>
      <c r="O89" t="s">
        <v>533</v>
      </c>
    </row>
    <row r="90" spans="1:16" ht="15.75">
      <c r="A90" s="35" t="s">
        <v>499</v>
      </c>
      <c r="B90">
        <v>-0.5</v>
      </c>
      <c r="D90" t="s">
        <v>37</v>
      </c>
      <c r="E90" s="36" t="s">
        <v>38</v>
      </c>
      <c r="F90" s="29" t="s">
        <v>527</v>
      </c>
      <c r="G90" t="s">
        <v>130</v>
      </c>
      <c r="H90" s="29" t="s">
        <v>33</v>
      </c>
      <c r="I90" s="29">
        <v>0</v>
      </c>
      <c r="J90" s="31" t="s">
        <v>31</v>
      </c>
      <c r="K90" s="31" t="s">
        <v>31</v>
      </c>
      <c r="L90" s="31" t="s">
        <v>31</v>
      </c>
      <c r="M90" s="31" t="s">
        <v>31</v>
      </c>
      <c r="N90" s="31" t="s">
        <v>31</v>
      </c>
      <c r="O90" s="31"/>
    </row>
    <row r="91" spans="1:16" s="28" customFormat="1" ht="15.75">
      <c r="A91" s="25" t="s">
        <v>5</v>
      </c>
      <c r="B91" s="25" t="s">
        <v>551</v>
      </c>
      <c r="C91" s="25"/>
      <c r="D91" s="26"/>
      <c r="E91" s="27"/>
      <c r="F91" s="27"/>
      <c r="G91" s="27"/>
      <c r="H91" s="27"/>
      <c r="I91" s="27"/>
      <c r="J91" s="27"/>
      <c r="K91" s="27"/>
      <c r="L91" s="27"/>
      <c r="M91" s="27"/>
      <c r="N91" s="27"/>
      <c r="O91" s="27"/>
      <c r="P91" s="27"/>
    </row>
    <row r="92" spans="1:16">
      <c r="A92" s="29" t="s">
        <v>7</v>
      </c>
      <c r="B92" s="29" t="s">
        <v>485</v>
      </c>
      <c r="C92" s="29"/>
      <c r="D92" s="29"/>
      <c r="E92" s="29"/>
      <c r="F92" s="29"/>
      <c r="G92" s="29"/>
      <c r="H92" s="29"/>
      <c r="I92" s="29"/>
      <c r="J92" s="29"/>
      <c r="K92" s="29"/>
      <c r="L92" s="29"/>
      <c r="M92" s="29"/>
      <c r="N92" s="29"/>
      <c r="O92" s="29"/>
      <c r="P92" s="29"/>
    </row>
    <row r="93" spans="1:16">
      <c r="A93" s="29" t="s">
        <v>9</v>
      </c>
      <c r="B93" s="30" t="s">
        <v>552</v>
      </c>
      <c r="C93" s="29"/>
      <c r="D93" s="29"/>
      <c r="E93" s="29"/>
      <c r="F93" s="29"/>
      <c r="G93" s="29"/>
      <c r="H93" s="29"/>
      <c r="I93" s="29"/>
      <c r="J93" s="29"/>
      <c r="K93" s="29"/>
      <c r="L93" s="29"/>
      <c r="M93" s="29"/>
      <c r="N93" s="29"/>
      <c r="O93" s="29"/>
      <c r="P93" s="29"/>
    </row>
    <row r="94" spans="1:16">
      <c r="A94" s="29" t="s">
        <v>11</v>
      </c>
      <c r="B94" s="29" t="s">
        <v>526</v>
      </c>
      <c r="C94" s="29"/>
      <c r="D94" s="29"/>
      <c r="E94" s="29"/>
      <c r="F94" s="29"/>
      <c r="G94" s="29"/>
      <c r="H94" s="29"/>
      <c r="I94" s="29"/>
      <c r="J94" s="29"/>
      <c r="K94" s="29"/>
      <c r="L94" s="29"/>
      <c r="M94" s="29"/>
      <c r="N94" s="29"/>
      <c r="O94" s="29"/>
      <c r="P94" s="29"/>
    </row>
    <row r="95" spans="1:16">
      <c r="A95" s="29" t="s">
        <v>13</v>
      </c>
      <c r="B95" s="29" t="s">
        <v>57</v>
      </c>
      <c r="C95" s="29"/>
      <c r="D95" s="29"/>
      <c r="E95" s="29"/>
      <c r="F95" s="29"/>
      <c r="G95" s="29"/>
      <c r="H95" s="29"/>
      <c r="I95" s="29"/>
      <c r="J95" s="29"/>
      <c r="K95" s="29"/>
      <c r="L95" s="29"/>
      <c r="M95" s="29"/>
      <c r="N95" s="29"/>
      <c r="O95" s="29"/>
      <c r="P95" s="29"/>
    </row>
    <row r="96" spans="1:16">
      <c r="A96" s="29" t="s">
        <v>15</v>
      </c>
      <c r="B96" s="29">
        <v>1</v>
      </c>
      <c r="C96" s="29"/>
      <c r="D96" s="29"/>
      <c r="E96" s="29"/>
      <c r="F96" s="29"/>
      <c r="G96" s="29"/>
      <c r="H96" s="29"/>
      <c r="I96" s="29"/>
      <c r="J96" s="29"/>
      <c r="K96" s="29"/>
      <c r="L96" s="29"/>
      <c r="M96" s="29"/>
      <c r="N96" s="29"/>
      <c r="O96" s="29"/>
      <c r="P96" s="29"/>
    </row>
    <row r="97" spans="1:16">
      <c r="A97" s="29" t="s">
        <v>16</v>
      </c>
      <c r="B97" s="29" t="s">
        <v>17</v>
      </c>
      <c r="C97" s="29"/>
      <c r="D97" s="29"/>
      <c r="E97" s="29"/>
      <c r="F97" s="29"/>
      <c r="G97" s="29"/>
      <c r="H97" s="29"/>
      <c r="I97" s="29"/>
      <c r="J97" s="29"/>
      <c r="K97" s="29"/>
      <c r="L97" s="29"/>
      <c r="M97" s="29"/>
      <c r="N97" s="29"/>
      <c r="O97" s="29"/>
      <c r="P97" s="29"/>
    </row>
    <row r="98" spans="1:16" ht="15.75">
      <c r="A98" s="29" t="s">
        <v>18</v>
      </c>
      <c r="B98" s="31" t="s">
        <v>37</v>
      </c>
      <c r="C98" s="29"/>
      <c r="D98" s="29"/>
      <c r="E98" s="29" t="s">
        <v>226</v>
      </c>
      <c r="F98" s="29"/>
      <c r="G98" s="29"/>
      <c r="H98" s="29"/>
      <c r="I98" s="29"/>
      <c r="J98" s="29"/>
      <c r="K98" s="29"/>
      <c r="L98" s="29"/>
      <c r="M98" s="29"/>
      <c r="N98" s="29"/>
      <c r="O98" s="29"/>
      <c r="P98" s="29"/>
    </row>
    <row r="99" spans="1:16" ht="15.75">
      <c r="A99" s="32" t="s">
        <v>19</v>
      </c>
      <c r="B99" s="29"/>
      <c r="C99" s="29"/>
      <c r="D99" s="29"/>
      <c r="E99" s="29"/>
      <c r="F99" s="29"/>
      <c r="G99" s="29"/>
      <c r="H99" s="29"/>
      <c r="I99" s="29"/>
      <c r="J99" s="29"/>
      <c r="K99" s="29"/>
      <c r="L99" s="29"/>
      <c r="M99" s="29"/>
      <c r="N99" s="29"/>
      <c r="O99" s="29"/>
      <c r="P99" s="29"/>
    </row>
    <row r="100" spans="1:16" ht="15.75">
      <c r="A100" s="32" t="s">
        <v>20</v>
      </c>
      <c r="B100" s="32" t="s">
        <v>21</v>
      </c>
      <c r="C100" s="32" t="s">
        <v>209</v>
      </c>
      <c r="D100" s="32" t="s">
        <v>18</v>
      </c>
      <c r="E100" s="32" t="s">
        <v>22</v>
      </c>
      <c r="F100" s="32" t="s">
        <v>7</v>
      </c>
      <c r="G100" s="32" t="s">
        <v>13</v>
      </c>
      <c r="H100" s="32" t="s">
        <v>16</v>
      </c>
      <c r="I100" s="32" t="s">
        <v>23</v>
      </c>
      <c r="J100" s="32" t="s">
        <v>24</v>
      </c>
      <c r="K100" s="32" t="s">
        <v>25</v>
      </c>
      <c r="L100" s="32" t="s">
        <v>26</v>
      </c>
      <c r="M100" s="32" t="s">
        <v>27</v>
      </c>
      <c r="N100" s="32" t="s">
        <v>28</v>
      </c>
      <c r="O100" s="32" t="s">
        <v>11</v>
      </c>
      <c r="P100" s="32" t="s">
        <v>483</v>
      </c>
    </row>
    <row r="101" spans="1:16" ht="15.75">
      <c r="A101" s="31" t="str">
        <f>B91</f>
        <v>treatment of aluminium, fuselage, airframe, conventional, Medium-Term</v>
      </c>
      <c r="B101" s="31">
        <v>1</v>
      </c>
      <c r="C101" s="31"/>
      <c r="D101" s="31" t="s">
        <v>37</v>
      </c>
      <c r="E101" s="29" t="s">
        <v>2</v>
      </c>
      <c r="F101" s="29" t="s">
        <v>527</v>
      </c>
      <c r="G101" s="31" t="s">
        <v>57</v>
      </c>
      <c r="H101" s="29" t="s">
        <v>30</v>
      </c>
      <c r="I101" s="29">
        <v>0</v>
      </c>
      <c r="J101" s="31" t="s">
        <v>31</v>
      </c>
      <c r="K101" s="31" t="s">
        <v>31</v>
      </c>
      <c r="L101" s="31" t="s">
        <v>31</v>
      </c>
      <c r="M101" s="31" t="s">
        <v>31</v>
      </c>
      <c r="N101" s="31" t="s">
        <v>31</v>
      </c>
      <c r="O101" s="31" t="s">
        <v>553</v>
      </c>
      <c r="P101" s="29"/>
    </row>
    <row r="102" spans="1:16" ht="15.75">
      <c r="A102" t="s">
        <v>263</v>
      </c>
      <c r="B102" s="22">
        <v>0.85</v>
      </c>
      <c r="C102" s="31"/>
      <c r="D102" s="31" t="s">
        <v>37</v>
      </c>
      <c r="E102" s="37" t="s">
        <v>38</v>
      </c>
      <c r="F102" s="29" t="s">
        <v>527</v>
      </c>
      <c r="G102" s="31" t="s">
        <v>130</v>
      </c>
      <c r="H102" s="29" t="s">
        <v>33</v>
      </c>
      <c r="I102" s="29">
        <v>0</v>
      </c>
      <c r="J102" s="31" t="s">
        <v>31</v>
      </c>
      <c r="K102" s="31" t="s">
        <v>31</v>
      </c>
      <c r="L102" s="31" t="s">
        <v>31</v>
      </c>
      <c r="M102" s="31" t="s">
        <v>31</v>
      </c>
      <c r="N102" s="31" t="s">
        <v>31</v>
      </c>
      <c r="O102" s="29"/>
      <c r="P102" s="29"/>
    </row>
    <row r="103" spans="1:16" ht="15.75">
      <c r="A103" t="s">
        <v>266</v>
      </c>
      <c r="B103" s="22">
        <v>0.85</v>
      </c>
      <c r="C103" s="23" t="s">
        <v>267</v>
      </c>
      <c r="D103" t="s">
        <v>37</v>
      </c>
      <c r="E103" s="36" t="s">
        <v>38</v>
      </c>
      <c r="F103" s="29" t="s">
        <v>527</v>
      </c>
      <c r="G103" s="31" t="s">
        <v>130</v>
      </c>
      <c r="H103" s="29" t="s">
        <v>33</v>
      </c>
      <c r="I103" s="29">
        <v>0</v>
      </c>
      <c r="J103" s="31" t="s">
        <v>31</v>
      </c>
      <c r="K103" s="31" t="s">
        <v>31</v>
      </c>
      <c r="L103" s="31" t="s">
        <v>31</v>
      </c>
      <c r="M103" s="31" t="s">
        <v>31</v>
      </c>
      <c r="N103" s="31" t="s">
        <v>31</v>
      </c>
      <c r="O103" s="31" t="s">
        <v>505</v>
      </c>
    </row>
    <row r="104" spans="1:16" ht="15.75">
      <c r="A104" t="s">
        <v>359</v>
      </c>
      <c r="B104" s="22">
        <f>B103*0.9</f>
        <v>0.76500000000000001</v>
      </c>
      <c r="D104" t="s">
        <v>37</v>
      </c>
      <c r="E104" s="36" t="s">
        <v>38</v>
      </c>
      <c r="F104" s="29" t="s">
        <v>527</v>
      </c>
      <c r="G104" t="s">
        <v>57</v>
      </c>
      <c r="H104" s="29" t="s">
        <v>269</v>
      </c>
      <c r="I104" s="29">
        <v>0</v>
      </c>
      <c r="J104" s="31" t="s">
        <v>31</v>
      </c>
      <c r="K104" s="31" t="s">
        <v>31</v>
      </c>
      <c r="L104" s="31" t="s">
        <v>31</v>
      </c>
      <c r="M104" s="31" t="s">
        <v>31</v>
      </c>
      <c r="N104" s="31" t="s">
        <v>31</v>
      </c>
      <c r="O104" s="29"/>
      <c r="P104" s="31" t="s">
        <v>529</v>
      </c>
    </row>
    <row r="105" spans="1:16" ht="15.75">
      <c r="A105" t="s">
        <v>489</v>
      </c>
      <c r="B105" s="22">
        <f>-(1-B104)</f>
        <v>-0.23499999999999999</v>
      </c>
      <c r="D105" t="s">
        <v>37</v>
      </c>
      <c r="E105" s="35" t="s">
        <v>38</v>
      </c>
      <c r="F105" s="29" t="s">
        <v>527</v>
      </c>
      <c r="G105" t="s">
        <v>57</v>
      </c>
      <c r="H105" t="s">
        <v>33</v>
      </c>
      <c r="I105">
        <v>0</v>
      </c>
      <c r="J105" t="s">
        <v>31</v>
      </c>
      <c r="K105" t="s">
        <v>31</v>
      </c>
      <c r="L105" t="s">
        <v>31</v>
      </c>
      <c r="M105" t="s">
        <v>31</v>
      </c>
      <c r="N105" t="s">
        <v>31</v>
      </c>
      <c r="O105" s="17"/>
      <c r="P105" s="29"/>
    </row>
    <row r="106" spans="1:16" s="28" customFormat="1" ht="15.75">
      <c r="A106" s="25" t="s">
        <v>5</v>
      </c>
      <c r="B106" s="25" t="s">
        <v>554</v>
      </c>
      <c r="C106" s="25"/>
      <c r="D106" s="26"/>
      <c r="E106" s="27"/>
      <c r="F106" s="27"/>
      <c r="G106" s="27"/>
      <c r="H106" s="27"/>
      <c r="I106" s="27"/>
      <c r="J106" s="27"/>
      <c r="K106" s="27"/>
      <c r="L106" s="27"/>
      <c r="M106" s="27"/>
      <c r="N106" s="27"/>
      <c r="O106" s="27"/>
      <c r="P106" s="27"/>
    </row>
    <row r="107" spans="1:16">
      <c r="A107" s="29" t="s">
        <v>7</v>
      </c>
      <c r="B107" s="29" t="s">
        <v>485</v>
      </c>
      <c r="C107" s="29"/>
      <c r="D107" s="29"/>
      <c r="E107" s="29"/>
      <c r="F107" s="29"/>
      <c r="G107" s="29"/>
      <c r="H107" s="29"/>
      <c r="I107" s="29"/>
      <c r="J107" s="29"/>
      <c r="K107" s="29"/>
      <c r="L107" s="29"/>
      <c r="M107" s="29"/>
      <c r="N107" s="29"/>
      <c r="O107" s="29"/>
      <c r="P107" s="29"/>
    </row>
    <row r="108" spans="1:16">
      <c r="A108" s="29" t="s">
        <v>9</v>
      </c>
      <c r="B108" s="30" t="s">
        <v>555</v>
      </c>
      <c r="C108" s="29"/>
      <c r="D108" s="29"/>
      <c r="E108" s="29"/>
      <c r="F108" s="29"/>
      <c r="G108" s="29"/>
      <c r="H108" s="29"/>
      <c r="I108" s="29"/>
      <c r="J108" s="29"/>
      <c r="K108" s="29"/>
      <c r="L108" s="29"/>
      <c r="M108" s="29"/>
      <c r="N108" s="29"/>
      <c r="O108" s="29"/>
      <c r="P108" s="29"/>
    </row>
    <row r="109" spans="1:16">
      <c r="A109" s="29" t="s">
        <v>11</v>
      </c>
      <c r="B109" s="29" t="s">
        <v>526</v>
      </c>
      <c r="C109" s="29"/>
      <c r="D109" s="29"/>
      <c r="E109" s="29"/>
      <c r="F109" s="29"/>
      <c r="G109" s="29"/>
      <c r="H109" s="29"/>
      <c r="I109" s="29"/>
      <c r="J109" s="29"/>
      <c r="K109" s="29"/>
      <c r="L109" s="29"/>
      <c r="M109" s="29"/>
      <c r="N109" s="29"/>
      <c r="O109" s="29"/>
      <c r="P109" s="29"/>
    </row>
    <row r="110" spans="1:16">
      <c r="A110" s="29" t="s">
        <v>13</v>
      </c>
      <c r="B110" s="29" t="s">
        <v>57</v>
      </c>
      <c r="C110" s="29"/>
      <c r="D110" s="29"/>
      <c r="E110" s="29"/>
      <c r="F110" s="29"/>
      <c r="G110" s="29"/>
      <c r="H110" s="29"/>
      <c r="I110" s="29"/>
      <c r="J110" s="29"/>
      <c r="K110" s="29"/>
      <c r="L110" s="29"/>
      <c r="M110" s="29"/>
      <c r="N110" s="29"/>
      <c r="O110" s="29"/>
      <c r="P110" s="29"/>
    </row>
    <row r="111" spans="1:16">
      <c r="A111" s="29" t="s">
        <v>15</v>
      </c>
      <c r="B111" s="29">
        <v>1</v>
      </c>
      <c r="C111" s="29"/>
      <c r="D111" s="29"/>
      <c r="E111" s="29"/>
      <c r="F111" s="29"/>
      <c r="G111" s="29"/>
      <c r="H111" s="29"/>
      <c r="I111" s="29"/>
      <c r="J111" s="29"/>
      <c r="K111" s="29"/>
      <c r="L111" s="29"/>
      <c r="M111" s="29"/>
      <c r="N111" s="29"/>
      <c r="O111" s="29"/>
      <c r="P111" s="29"/>
    </row>
    <row r="112" spans="1:16">
      <c r="A112" s="29" t="s">
        <v>16</v>
      </c>
      <c r="B112" s="29" t="s">
        <v>17</v>
      </c>
      <c r="C112" s="29"/>
      <c r="D112" s="29"/>
      <c r="E112" s="29"/>
      <c r="F112" s="29"/>
      <c r="G112" s="29"/>
      <c r="H112" s="29"/>
      <c r="I112" s="29"/>
      <c r="J112" s="29"/>
      <c r="K112" s="29"/>
      <c r="L112" s="29"/>
      <c r="M112" s="29"/>
      <c r="N112" s="29"/>
      <c r="O112" s="29"/>
      <c r="P112" s="29"/>
    </row>
    <row r="113" spans="1:16" ht="15.75">
      <c r="A113" s="29" t="s">
        <v>18</v>
      </c>
      <c r="B113" s="31" t="s">
        <v>37</v>
      </c>
      <c r="C113" s="29"/>
      <c r="D113" s="29"/>
      <c r="E113" s="29" t="s">
        <v>226</v>
      </c>
      <c r="F113" s="29"/>
      <c r="G113" s="29"/>
      <c r="H113" s="29"/>
      <c r="I113" s="29"/>
      <c r="J113" s="29"/>
      <c r="K113" s="29"/>
      <c r="L113" s="29"/>
      <c r="M113" s="29"/>
      <c r="N113" s="29"/>
      <c r="O113" s="29"/>
      <c r="P113" s="29"/>
    </row>
    <row r="114" spans="1:16" ht="15.75">
      <c r="A114" s="32" t="s">
        <v>19</v>
      </c>
      <c r="B114" s="29"/>
      <c r="C114" s="29"/>
      <c r="D114" s="29"/>
      <c r="E114" s="29"/>
      <c r="F114" s="29"/>
      <c r="G114" s="29"/>
      <c r="H114" s="29"/>
      <c r="I114" s="29"/>
      <c r="J114" s="29"/>
      <c r="K114" s="29"/>
      <c r="L114" s="29"/>
      <c r="M114" s="29"/>
      <c r="N114" s="29"/>
      <c r="O114" s="29"/>
      <c r="P114" s="29"/>
    </row>
    <row r="115" spans="1:16" ht="15.75">
      <c r="A115" s="32" t="s">
        <v>20</v>
      </c>
      <c r="B115" s="32" t="s">
        <v>21</v>
      </c>
      <c r="C115" s="32" t="s">
        <v>209</v>
      </c>
      <c r="D115" s="32" t="s">
        <v>18</v>
      </c>
      <c r="E115" s="32" t="s">
        <v>22</v>
      </c>
      <c r="F115" s="32" t="s">
        <v>7</v>
      </c>
      <c r="G115" s="32" t="s">
        <v>13</v>
      </c>
      <c r="H115" s="32" t="s">
        <v>16</v>
      </c>
      <c r="I115" s="32" t="s">
        <v>23</v>
      </c>
      <c r="J115" s="32" t="s">
        <v>24</v>
      </c>
      <c r="K115" s="32" t="s">
        <v>25</v>
      </c>
      <c r="L115" s="32" t="s">
        <v>26</v>
      </c>
      <c r="M115" s="32" t="s">
        <v>27</v>
      </c>
      <c r="N115" s="32" t="s">
        <v>28</v>
      </c>
      <c r="O115" s="32" t="s">
        <v>11</v>
      </c>
      <c r="P115" s="32" t="s">
        <v>483</v>
      </c>
    </row>
    <row r="116" spans="1:16" ht="15.75">
      <c r="A116" s="31" t="str">
        <f>B106</f>
        <v>treatment of composites, fuselage, airframe, conventional, Medium-Term</v>
      </c>
      <c r="B116" s="31">
        <v>1</v>
      </c>
      <c r="C116" s="31"/>
      <c r="D116" s="31" t="s">
        <v>37</v>
      </c>
      <c r="E116" s="29" t="s">
        <v>2</v>
      </c>
      <c r="F116" s="29" t="s">
        <v>527</v>
      </c>
      <c r="G116" s="31" t="s">
        <v>57</v>
      </c>
      <c r="H116" s="29" t="s">
        <v>30</v>
      </c>
      <c r="I116" s="29">
        <v>0</v>
      </c>
      <c r="J116" s="31" t="s">
        <v>31</v>
      </c>
      <c r="K116" s="31" t="s">
        <v>31</v>
      </c>
      <c r="L116" s="31" t="s">
        <v>31</v>
      </c>
      <c r="M116" s="31" t="s">
        <v>31</v>
      </c>
      <c r="N116" s="31" t="s">
        <v>31</v>
      </c>
      <c r="O116" s="31" t="s">
        <v>556</v>
      </c>
      <c r="P116" s="29"/>
    </row>
    <row r="117" spans="1:16" ht="15.75">
      <c r="A117" s="35" t="s">
        <v>493</v>
      </c>
      <c r="B117">
        <v>-0.5</v>
      </c>
      <c r="D117" t="s">
        <v>37</v>
      </c>
      <c r="E117" s="36" t="s">
        <v>38</v>
      </c>
      <c r="F117" s="29" t="s">
        <v>527</v>
      </c>
      <c r="G117" t="s">
        <v>130</v>
      </c>
      <c r="H117" t="s">
        <v>33</v>
      </c>
      <c r="I117" s="29">
        <v>0</v>
      </c>
      <c r="J117" s="31" t="s">
        <v>31</v>
      </c>
      <c r="K117" s="31" t="s">
        <v>31</v>
      </c>
      <c r="L117" s="31" t="s">
        <v>31</v>
      </c>
      <c r="M117" s="31" t="s">
        <v>31</v>
      </c>
      <c r="N117" s="31" t="s">
        <v>31</v>
      </c>
      <c r="O117" s="31" t="s">
        <v>495</v>
      </c>
      <c r="P117" s="31" t="s">
        <v>496</v>
      </c>
    </row>
    <row r="118" spans="1:16" ht="15.75">
      <c r="A118" t="s">
        <v>399</v>
      </c>
      <c r="B118">
        <f>B119*0.277777777</f>
        <v>2.415277771015</v>
      </c>
      <c r="D118" t="s">
        <v>78</v>
      </c>
      <c r="E118" s="36" t="s">
        <v>38</v>
      </c>
      <c r="F118" s="29" t="s">
        <v>527</v>
      </c>
      <c r="G118" t="s">
        <v>57</v>
      </c>
      <c r="H118" s="29" t="s">
        <v>269</v>
      </c>
      <c r="I118" s="29">
        <v>0</v>
      </c>
      <c r="J118" s="31" t="s">
        <v>31</v>
      </c>
      <c r="K118" s="31" t="s">
        <v>31</v>
      </c>
      <c r="L118" s="31" t="s">
        <v>31</v>
      </c>
      <c r="M118" s="31" t="s">
        <v>31</v>
      </c>
      <c r="N118" s="31" t="s">
        <v>31</v>
      </c>
      <c r="O118" t="s">
        <v>497</v>
      </c>
    </row>
    <row r="119" spans="1:16" ht="15.75">
      <c r="A119" t="s">
        <v>239</v>
      </c>
      <c r="B119">
        <f>-B117*0.5*34.78</f>
        <v>8.6950000000000003</v>
      </c>
      <c r="D119" t="s">
        <v>172</v>
      </c>
      <c r="E119" s="36" t="s">
        <v>38</v>
      </c>
      <c r="F119" s="29" t="s">
        <v>527</v>
      </c>
      <c r="G119" t="s">
        <v>57</v>
      </c>
      <c r="H119" s="29" t="s">
        <v>269</v>
      </c>
      <c r="I119" s="29">
        <v>0</v>
      </c>
      <c r="J119" s="31" t="s">
        <v>31</v>
      </c>
      <c r="K119" s="31" t="s">
        <v>31</v>
      </c>
      <c r="L119" s="31" t="s">
        <v>31</v>
      </c>
      <c r="M119" s="31" t="s">
        <v>31</v>
      </c>
      <c r="N119" s="31" t="s">
        <v>31</v>
      </c>
      <c r="O119" t="s">
        <v>533</v>
      </c>
    </row>
    <row r="120" spans="1:16" ht="15.75">
      <c r="A120" s="35" t="s">
        <v>499</v>
      </c>
      <c r="B120">
        <v>-0.5</v>
      </c>
      <c r="D120" t="s">
        <v>37</v>
      </c>
      <c r="E120" s="36" t="s">
        <v>38</v>
      </c>
      <c r="F120" s="29" t="s">
        <v>527</v>
      </c>
      <c r="G120" t="s">
        <v>130</v>
      </c>
      <c r="H120" s="29" t="s">
        <v>33</v>
      </c>
      <c r="I120" s="29">
        <v>0</v>
      </c>
      <c r="J120" s="31" t="s">
        <v>31</v>
      </c>
      <c r="K120" s="31" t="s">
        <v>31</v>
      </c>
      <c r="L120" s="31" t="s">
        <v>31</v>
      </c>
      <c r="M120" s="31" t="s">
        <v>31</v>
      </c>
      <c r="N120" s="31" t="s">
        <v>31</v>
      </c>
      <c r="O120" s="31"/>
    </row>
    <row r="121" spans="1:16" s="28" customFormat="1" ht="15.75">
      <c r="A121" s="25" t="s">
        <v>5</v>
      </c>
      <c r="B121" s="25" t="s">
        <v>557</v>
      </c>
      <c r="C121" s="25"/>
      <c r="D121" s="26"/>
      <c r="E121" s="27"/>
      <c r="F121" s="27"/>
      <c r="G121" s="27"/>
      <c r="H121" s="27"/>
      <c r="I121" s="27"/>
      <c r="J121" s="27"/>
      <c r="K121" s="27"/>
      <c r="L121" s="27"/>
      <c r="M121" s="27"/>
      <c r="N121" s="27"/>
      <c r="O121" s="27"/>
      <c r="P121" s="27"/>
    </row>
    <row r="122" spans="1:16">
      <c r="A122" s="29" t="s">
        <v>7</v>
      </c>
      <c r="B122" s="29" t="s">
        <v>485</v>
      </c>
      <c r="C122" s="29"/>
      <c r="D122" s="29"/>
      <c r="E122" s="29"/>
      <c r="F122" s="29"/>
      <c r="G122" s="29"/>
      <c r="H122" s="29"/>
      <c r="I122" s="29"/>
      <c r="J122" s="29"/>
      <c r="K122" s="29"/>
      <c r="L122" s="29"/>
      <c r="M122" s="29"/>
      <c r="N122" s="29"/>
      <c r="O122" s="29"/>
      <c r="P122" s="29"/>
    </row>
    <row r="123" spans="1:16">
      <c r="A123" s="29" t="s">
        <v>9</v>
      </c>
      <c r="B123" s="30" t="s">
        <v>558</v>
      </c>
      <c r="C123" s="29"/>
      <c r="D123" s="29"/>
      <c r="E123" s="29"/>
      <c r="F123" s="29"/>
      <c r="G123" s="29"/>
      <c r="H123" s="29"/>
      <c r="I123" s="29"/>
      <c r="J123" s="29"/>
      <c r="K123" s="29"/>
      <c r="L123" s="29"/>
      <c r="M123" s="29"/>
      <c r="N123" s="29"/>
      <c r="O123" s="29"/>
      <c r="P123" s="29"/>
    </row>
    <row r="124" spans="1:16">
      <c r="A124" s="29" t="s">
        <v>11</v>
      </c>
      <c r="B124" s="29" t="s">
        <v>526</v>
      </c>
      <c r="C124" s="29"/>
      <c r="D124" s="29"/>
      <c r="E124" s="29"/>
      <c r="F124" s="29"/>
      <c r="G124" s="29"/>
      <c r="H124" s="29"/>
      <c r="I124" s="29"/>
      <c r="J124" s="29"/>
      <c r="K124" s="29"/>
      <c r="L124" s="29"/>
      <c r="M124" s="29"/>
      <c r="N124" s="29"/>
      <c r="O124" s="29"/>
      <c r="P124" s="29"/>
    </row>
    <row r="125" spans="1:16">
      <c r="A125" s="29" t="s">
        <v>13</v>
      </c>
      <c r="B125" s="29" t="s">
        <v>57</v>
      </c>
      <c r="C125" s="29"/>
      <c r="D125" s="29"/>
      <c r="E125" s="29"/>
      <c r="F125" s="29"/>
      <c r="G125" s="29"/>
      <c r="H125" s="29"/>
      <c r="I125" s="29"/>
      <c r="J125" s="29"/>
      <c r="K125" s="29"/>
      <c r="L125" s="29"/>
      <c r="M125" s="29"/>
      <c r="N125" s="29"/>
      <c r="O125" s="29"/>
      <c r="P125" s="29"/>
    </row>
    <row r="126" spans="1:16">
      <c r="A126" s="29" t="s">
        <v>15</v>
      </c>
      <c r="B126" s="29">
        <v>1</v>
      </c>
      <c r="C126" s="29"/>
      <c r="D126" s="29"/>
      <c r="E126" s="29"/>
      <c r="F126" s="29"/>
      <c r="G126" s="29"/>
      <c r="H126" s="29"/>
      <c r="I126" s="29"/>
      <c r="J126" s="29"/>
      <c r="K126" s="29"/>
      <c r="L126" s="29"/>
      <c r="M126" s="29"/>
      <c r="N126" s="29"/>
      <c r="O126" s="29"/>
      <c r="P126" s="29"/>
    </row>
    <row r="127" spans="1:16">
      <c r="A127" s="29" t="s">
        <v>16</v>
      </c>
      <c r="B127" s="29" t="s">
        <v>17</v>
      </c>
      <c r="C127" s="29"/>
      <c r="D127" s="29"/>
      <c r="E127" s="29"/>
      <c r="F127" s="29"/>
      <c r="G127" s="29"/>
      <c r="H127" s="29"/>
      <c r="I127" s="29"/>
      <c r="J127" s="29"/>
      <c r="K127" s="29"/>
      <c r="L127" s="29"/>
      <c r="M127" s="29"/>
      <c r="N127" s="29"/>
      <c r="O127" s="29"/>
      <c r="P127" s="29"/>
    </row>
    <row r="128" spans="1:16" ht="15.75">
      <c r="A128" s="29" t="s">
        <v>18</v>
      </c>
      <c r="B128" s="31" t="s">
        <v>37</v>
      </c>
      <c r="C128" s="29"/>
      <c r="D128" s="29"/>
      <c r="E128" s="29" t="s">
        <v>226</v>
      </c>
      <c r="F128" s="29"/>
      <c r="G128" s="29"/>
      <c r="H128" s="29"/>
      <c r="I128" s="29"/>
      <c r="J128" s="29"/>
      <c r="K128" s="29"/>
      <c r="L128" s="29"/>
      <c r="M128" s="29"/>
      <c r="N128" s="29"/>
      <c r="O128" s="29"/>
      <c r="P128" s="29"/>
    </row>
    <row r="129" spans="1:16" ht="15.75">
      <c r="A129" s="32" t="s">
        <v>19</v>
      </c>
      <c r="B129" s="29"/>
      <c r="C129" s="29"/>
      <c r="D129" s="29"/>
      <c r="E129" s="29"/>
      <c r="F129" s="29"/>
      <c r="G129" s="29"/>
      <c r="H129" s="29"/>
      <c r="I129" s="29"/>
      <c r="J129" s="29"/>
      <c r="K129" s="29"/>
      <c r="L129" s="29"/>
      <c r="M129" s="29"/>
      <c r="N129" s="29"/>
      <c r="O129" s="29"/>
      <c r="P129" s="29"/>
    </row>
    <row r="130" spans="1:16" ht="15.75">
      <c r="A130" s="32" t="s">
        <v>20</v>
      </c>
      <c r="B130" s="32" t="s">
        <v>21</v>
      </c>
      <c r="C130" s="32" t="s">
        <v>209</v>
      </c>
      <c r="D130" s="32" t="s">
        <v>18</v>
      </c>
      <c r="E130" s="32" t="s">
        <v>22</v>
      </c>
      <c r="F130" s="32" t="s">
        <v>7</v>
      </c>
      <c r="G130" s="32" t="s">
        <v>13</v>
      </c>
      <c r="H130" s="32" t="s">
        <v>16</v>
      </c>
      <c r="I130" s="32" t="s">
        <v>23</v>
      </c>
      <c r="J130" s="32" t="s">
        <v>24</v>
      </c>
      <c r="K130" s="32" t="s">
        <v>25</v>
      </c>
      <c r="L130" s="32" t="s">
        <v>26</v>
      </c>
      <c r="M130" s="32" t="s">
        <v>27</v>
      </c>
      <c r="N130" s="32" t="s">
        <v>28</v>
      </c>
      <c r="O130" s="32" t="s">
        <v>11</v>
      </c>
      <c r="P130" s="32" t="s">
        <v>483</v>
      </c>
    </row>
    <row r="131" spans="1:16" ht="15.75">
      <c r="A131" s="31" t="str">
        <f>B121</f>
        <v>treatment of steel, fuselage, airframe, conventional, Medium-Term</v>
      </c>
      <c r="B131" s="31">
        <v>1</v>
      </c>
      <c r="C131" s="31"/>
      <c r="D131" s="31" t="s">
        <v>37</v>
      </c>
      <c r="E131" s="29" t="s">
        <v>2</v>
      </c>
      <c r="F131" s="29" t="s">
        <v>527</v>
      </c>
      <c r="G131" s="31" t="s">
        <v>57</v>
      </c>
      <c r="H131" s="29" t="s">
        <v>30</v>
      </c>
      <c r="I131" s="29">
        <v>0</v>
      </c>
      <c r="J131" s="31" t="s">
        <v>31</v>
      </c>
      <c r="K131" s="31" t="s">
        <v>31</v>
      </c>
      <c r="L131" s="31" t="s">
        <v>31</v>
      </c>
      <c r="M131" s="31" t="s">
        <v>31</v>
      </c>
      <c r="N131" s="31" t="s">
        <v>31</v>
      </c>
      <c r="O131" s="31" t="s">
        <v>559</v>
      </c>
      <c r="P131" s="29"/>
    </row>
    <row r="132" spans="1:16" ht="15.75">
      <c r="A132" t="s">
        <v>302</v>
      </c>
      <c r="B132" s="22">
        <v>0.85</v>
      </c>
      <c r="C132" s="31"/>
      <c r="D132" s="31" t="s">
        <v>37</v>
      </c>
      <c r="E132" s="35" t="s">
        <v>38</v>
      </c>
      <c r="F132" s="29" t="s">
        <v>527</v>
      </c>
      <c r="G132" s="31" t="s">
        <v>130</v>
      </c>
      <c r="H132" s="29" t="s">
        <v>33</v>
      </c>
      <c r="I132" s="29">
        <v>0</v>
      </c>
      <c r="J132" s="31" t="s">
        <v>31</v>
      </c>
      <c r="K132" s="31" t="s">
        <v>31</v>
      </c>
      <c r="L132" s="31" t="s">
        <v>31</v>
      </c>
      <c r="M132" s="31" t="s">
        <v>31</v>
      </c>
      <c r="N132" s="31" t="s">
        <v>31</v>
      </c>
      <c r="O132" s="29"/>
      <c r="P132" s="29"/>
    </row>
    <row r="133" spans="1:16" ht="15.75">
      <c r="A133" t="s">
        <v>537</v>
      </c>
      <c r="B133" s="22">
        <f>0.9*B132</f>
        <v>0.76500000000000001</v>
      </c>
      <c r="C133" s="31"/>
      <c r="D133" s="31" t="s">
        <v>37</v>
      </c>
      <c r="E133" s="35" t="s">
        <v>38</v>
      </c>
      <c r="F133" s="29" t="s">
        <v>527</v>
      </c>
      <c r="G133" s="31" t="s">
        <v>57</v>
      </c>
      <c r="H133" s="29" t="s">
        <v>269</v>
      </c>
      <c r="I133" s="29">
        <v>0</v>
      </c>
      <c r="J133" s="31" t="s">
        <v>31</v>
      </c>
      <c r="K133" s="31" t="s">
        <v>31</v>
      </c>
      <c r="L133" s="31" t="s">
        <v>31</v>
      </c>
      <c r="M133" s="31" t="s">
        <v>31</v>
      </c>
      <c r="N133" s="31" t="s">
        <v>31</v>
      </c>
      <c r="O133" s="29"/>
      <c r="P133" s="29" t="s">
        <v>538</v>
      </c>
    </row>
    <row r="134" spans="1:16" ht="16.5" customHeight="1">
      <c r="A134" t="s">
        <v>489</v>
      </c>
      <c r="B134" s="22">
        <f>-(1-B133)</f>
        <v>-0.23499999999999999</v>
      </c>
      <c r="D134" t="s">
        <v>37</v>
      </c>
      <c r="E134" s="35" t="s">
        <v>38</v>
      </c>
      <c r="F134" s="29" t="s">
        <v>527</v>
      </c>
      <c r="G134" t="s">
        <v>57</v>
      </c>
      <c r="H134" t="s">
        <v>33</v>
      </c>
      <c r="I134">
        <v>0</v>
      </c>
      <c r="J134" t="s">
        <v>31</v>
      </c>
      <c r="K134" t="s">
        <v>31</v>
      </c>
      <c r="L134" t="s">
        <v>31</v>
      </c>
      <c r="M134" t="s">
        <v>31</v>
      </c>
      <c r="N134" t="s">
        <v>31</v>
      </c>
      <c r="O134" s="17"/>
      <c r="P134" s="29" t="s">
        <v>539</v>
      </c>
    </row>
    <row r="135" spans="1:16" s="28" customFormat="1" ht="15.75">
      <c r="A135" s="25" t="s">
        <v>5</v>
      </c>
      <c r="B135" s="25" t="s">
        <v>560</v>
      </c>
      <c r="C135" s="25"/>
      <c r="D135" s="26"/>
      <c r="E135" s="27"/>
      <c r="F135" s="27"/>
      <c r="G135" s="27"/>
      <c r="H135" s="27"/>
      <c r="I135" s="27"/>
      <c r="J135" s="27"/>
      <c r="K135" s="27"/>
      <c r="L135" s="27"/>
      <c r="M135" s="27"/>
      <c r="N135" s="27"/>
      <c r="O135" s="27"/>
      <c r="P135" s="27"/>
    </row>
    <row r="136" spans="1:16">
      <c r="A136" s="29" t="s">
        <v>7</v>
      </c>
      <c r="B136" s="29" t="s">
        <v>485</v>
      </c>
      <c r="C136" s="29"/>
      <c r="D136" s="29"/>
      <c r="E136" s="29"/>
      <c r="F136" s="29"/>
      <c r="G136" s="29"/>
      <c r="H136" s="29"/>
      <c r="I136" s="29"/>
      <c r="J136" s="29"/>
      <c r="K136" s="29"/>
      <c r="L136" s="29"/>
      <c r="M136" s="29"/>
      <c r="N136" s="29"/>
      <c r="O136" s="29"/>
      <c r="P136" s="29"/>
    </row>
    <row r="137" spans="1:16">
      <c r="A137" s="29" t="s">
        <v>9</v>
      </c>
      <c r="B137" s="30" t="s">
        <v>561</v>
      </c>
      <c r="C137" s="29"/>
      <c r="D137" s="29"/>
      <c r="E137" s="29"/>
      <c r="F137" s="29"/>
      <c r="G137" s="29"/>
      <c r="H137" s="29"/>
      <c r="I137" s="29"/>
      <c r="J137" s="29"/>
      <c r="K137" s="29"/>
      <c r="L137" s="29"/>
      <c r="M137" s="29"/>
      <c r="N137" s="29"/>
      <c r="O137" s="29"/>
      <c r="P137" s="29"/>
    </row>
    <row r="138" spans="1:16">
      <c r="A138" s="29" t="s">
        <v>11</v>
      </c>
      <c r="B138" s="29" t="s">
        <v>526</v>
      </c>
      <c r="C138" s="29"/>
      <c r="D138" s="29"/>
      <c r="E138" s="29"/>
      <c r="F138" s="29"/>
      <c r="G138" s="29"/>
      <c r="H138" s="29"/>
      <c r="I138" s="29"/>
      <c r="J138" s="29"/>
      <c r="K138" s="29"/>
      <c r="L138" s="29"/>
      <c r="M138" s="29"/>
      <c r="N138" s="29"/>
      <c r="O138" s="29"/>
      <c r="P138" s="29"/>
    </row>
    <row r="139" spans="1:16">
      <c r="A139" s="29" t="s">
        <v>13</v>
      </c>
      <c r="B139" s="29" t="s">
        <v>57</v>
      </c>
      <c r="C139" s="29"/>
      <c r="D139" s="29"/>
      <c r="E139" s="29"/>
      <c r="F139" s="29"/>
      <c r="G139" s="29"/>
      <c r="H139" s="29"/>
      <c r="I139" s="29"/>
      <c r="J139" s="29"/>
      <c r="K139" s="29"/>
      <c r="L139" s="29"/>
      <c r="M139" s="29"/>
      <c r="N139" s="29"/>
      <c r="O139" s="29"/>
      <c r="P139" s="29"/>
    </row>
    <row r="140" spans="1:16">
      <c r="A140" s="29" t="s">
        <v>15</v>
      </c>
      <c r="B140" s="29">
        <v>1</v>
      </c>
      <c r="C140" s="29"/>
      <c r="D140" s="29"/>
      <c r="E140" s="29"/>
      <c r="F140" s="29"/>
      <c r="G140" s="29"/>
      <c r="H140" s="29"/>
      <c r="I140" s="29"/>
      <c r="J140" s="29"/>
      <c r="K140" s="29"/>
      <c r="L140" s="29"/>
      <c r="M140" s="29"/>
      <c r="N140" s="29"/>
      <c r="O140" s="29"/>
      <c r="P140" s="29"/>
    </row>
    <row r="141" spans="1:16">
      <c r="A141" s="29" t="s">
        <v>16</v>
      </c>
      <c r="B141" s="29" t="s">
        <v>17</v>
      </c>
      <c r="C141" s="29"/>
      <c r="D141" s="29"/>
      <c r="E141" s="29"/>
      <c r="F141" s="29"/>
      <c r="G141" s="29"/>
      <c r="H141" s="29"/>
      <c r="I141" s="29"/>
      <c r="J141" s="29"/>
      <c r="K141" s="29"/>
      <c r="L141" s="29"/>
      <c r="M141" s="29"/>
      <c r="N141" s="29"/>
      <c r="O141" s="29"/>
      <c r="P141" s="29"/>
    </row>
    <row r="142" spans="1:16" ht="15.75">
      <c r="A142" s="29" t="s">
        <v>18</v>
      </c>
      <c r="B142" s="31" t="s">
        <v>37</v>
      </c>
      <c r="C142" s="29"/>
      <c r="D142" s="29"/>
      <c r="E142" s="29" t="s">
        <v>226</v>
      </c>
      <c r="F142" s="29"/>
      <c r="G142" s="29"/>
      <c r="H142" s="29"/>
      <c r="I142" s="29"/>
      <c r="J142" s="29"/>
      <c r="K142" s="29"/>
      <c r="L142" s="29"/>
      <c r="M142" s="29"/>
      <c r="N142" s="29"/>
      <c r="O142" s="29"/>
      <c r="P142" s="29"/>
    </row>
    <row r="143" spans="1:16" ht="15.75">
      <c r="A143" s="32" t="s">
        <v>19</v>
      </c>
      <c r="B143" s="29"/>
      <c r="C143" s="29"/>
      <c r="D143" s="29"/>
      <c r="E143" s="29"/>
      <c r="F143" s="29"/>
      <c r="G143" s="29"/>
      <c r="H143" s="29"/>
      <c r="I143" s="29"/>
      <c r="J143" s="29"/>
      <c r="K143" s="29"/>
      <c r="L143" s="29"/>
      <c r="M143" s="29"/>
      <c r="N143" s="29"/>
      <c r="O143" s="29"/>
      <c r="P143" s="29"/>
    </row>
    <row r="144" spans="1:16" ht="15.75">
      <c r="A144" s="32" t="s">
        <v>20</v>
      </c>
      <c r="B144" s="32" t="s">
        <v>21</v>
      </c>
      <c r="C144" s="32" t="s">
        <v>209</v>
      </c>
      <c r="D144" s="32" t="s">
        <v>18</v>
      </c>
      <c r="E144" s="32" t="s">
        <v>22</v>
      </c>
      <c r="F144" s="32" t="s">
        <v>7</v>
      </c>
      <c r="G144" s="32" t="s">
        <v>13</v>
      </c>
      <c r="H144" s="32" t="s">
        <v>16</v>
      </c>
      <c r="I144" s="32" t="s">
        <v>23</v>
      </c>
      <c r="J144" s="32" t="s">
        <v>24</v>
      </c>
      <c r="K144" s="32" t="s">
        <v>25</v>
      </c>
      <c r="L144" s="32" t="s">
        <v>26</v>
      </c>
      <c r="M144" s="32" t="s">
        <v>27</v>
      </c>
      <c r="N144" s="32" t="s">
        <v>28</v>
      </c>
      <c r="O144" s="32" t="s">
        <v>11</v>
      </c>
      <c r="P144" s="32" t="s">
        <v>483</v>
      </c>
    </row>
    <row r="145" spans="1:22" ht="15.75">
      <c r="A145" s="31" t="str">
        <f>B135</f>
        <v>treatment of titanium, fuselage, airframe, conventional, Medium-Term</v>
      </c>
      <c r="B145" s="31">
        <v>1</v>
      </c>
      <c r="C145" s="31"/>
      <c r="D145" s="31" t="s">
        <v>37</v>
      </c>
      <c r="E145" s="29" t="s">
        <v>2</v>
      </c>
      <c r="F145" s="29" t="s">
        <v>527</v>
      </c>
      <c r="G145" s="31" t="s">
        <v>57</v>
      </c>
      <c r="H145" s="29" t="s">
        <v>30</v>
      </c>
      <c r="I145" s="29">
        <v>0</v>
      </c>
      <c r="J145" s="31" t="s">
        <v>31</v>
      </c>
      <c r="K145" s="31" t="s">
        <v>31</v>
      </c>
      <c r="L145" s="31" t="s">
        <v>31</v>
      </c>
      <c r="M145" s="31" t="s">
        <v>31</v>
      </c>
      <c r="N145" s="31" t="s">
        <v>31</v>
      </c>
      <c r="O145" s="31" t="s">
        <v>536</v>
      </c>
      <c r="P145" s="29"/>
    </row>
    <row r="146" spans="1:22">
      <c r="A146" t="s">
        <v>77</v>
      </c>
      <c r="B146">
        <f>U146</f>
        <v>19.0000152</v>
      </c>
      <c r="D146" t="s">
        <v>78</v>
      </c>
      <c r="E146" t="s">
        <v>38</v>
      </c>
      <c r="F146" s="29" t="s">
        <v>527</v>
      </c>
      <c r="G146" t="s">
        <v>57</v>
      </c>
      <c r="H146" t="s">
        <v>33</v>
      </c>
      <c r="I146">
        <v>2</v>
      </c>
      <c r="J146">
        <v>9.398101209</v>
      </c>
      <c r="K146">
        <v>0.30331501799999999</v>
      </c>
      <c r="L146" t="s">
        <v>31</v>
      </c>
      <c r="M146" t="s">
        <v>31</v>
      </c>
      <c r="N146" t="s">
        <v>31</v>
      </c>
      <c r="O146" t="s">
        <v>562</v>
      </c>
      <c r="P146" t="s">
        <v>563</v>
      </c>
      <c r="Q146" s="23" t="s">
        <v>542</v>
      </c>
      <c r="S146" s="23">
        <f>114*0.6</f>
        <v>68.399999999999991</v>
      </c>
      <c r="T146" s="23" t="s">
        <v>237</v>
      </c>
      <c r="U146" s="23">
        <f>S146*0.277778</f>
        <v>19.0000152</v>
      </c>
      <c r="V146" s="23" t="s">
        <v>236</v>
      </c>
    </row>
    <row r="147" spans="1:22">
      <c r="A147" t="s">
        <v>80</v>
      </c>
      <c r="B147">
        <f>U147</f>
        <v>1.1906005221932117</v>
      </c>
      <c r="D147" t="s">
        <v>48</v>
      </c>
      <c r="E147" t="s">
        <v>38</v>
      </c>
      <c r="F147" s="29" t="s">
        <v>527</v>
      </c>
      <c r="G147" t="s">
        <v>235</v>
      </c>
      <c r="H147" t="s">
        <v>33</v>
      </c>
      <c r="I147">
        <v>2</v>
      </c>
      <c r="J147">
        <v>6.6281192500000001</v>
      </c>
      <c r="K147">
        <v>0.30331501799999999</v>
      </c>
      <c r="L147" t="s">
        <v>31</v>
      </c>
      <c r="M147" t="s">
        <v>31</v>
      </c>
      <c r="N147" t="s">
        <v>31</v>
      </c>
      <c r="O147" t="s">
        <v>564</v>
      </c>
      <c r="P147" t="s">
        <v>565</v>
      </c>
      <c r="Q147" s="23" t="s">
        <v>543</v>
      </c>
      <c r="S147" s="23">
        <f>114*0.4</f>
        <v>45.6</v>
      </c>
      <c r="T147" s="23" t="s">
        <v>237</v>
      </c>
      <c r="U147" s="23">
        <f>S147/38.3</f>
        <v>1.1906005221932117</v>
      </c>
      <c r="V147" s="23" t="s">
        <v>238</v>
      </c>
    </row>
    <row r="148" spans="1:22" ht="15.75">
      <c r="A148" t="s">
        <v>489</v>
      </c>
      <c r="B148" s="22">
        <f>-1</f>
        <v>-1</v>
      </c>
      <c r="D148" t="s">
        <v>37</v>
      </c>
      <c r="E148" s="35" t="s">
        <v>38</v>
      </c>
      <c r="F148" s="29" t="s">
        <v>527</v>
      </c>
      <c r="G148" t="s">
        <v>57</v>
      </c>
      <c r="H148" t="s">
        <v>33</v>
      </c>
      <c r="I148">
        <v>0</v>
      </c>
      <c r="J148" t="s">
        <v>31</v>
      </c>
      <c r="K148" t="s">
        <v>31</v>
      </c>
      <c r="L148" t="s">
        <v>31</v>
      </c>
      <c r="M148" t="s">
        <v>31</v>
      </c>
      <c r="N148" t="s">
        <v>31</v>
      </c>
      <c r="O148" s="17"/>
      <c r="P148" s="29" t="s">
        <v>566</v>
      </c>
    </row>
    <row r="149" spans="1:22" s="28" customFormat="1" ht="15.75">
      <c r="A149" s="25" t="s">
        <v>5</v>
      </c>
      <c r="B149" s="25" t="s">
        <v>567</v>
      </c>
      <c r="C149" s="25"/>
      <c r="D149" s="26"/>
      <c r="E149" s="27"/>
      <c r="F149" s="27"/>
      <c r="G149" s="27"/>
      <c r="H149" s="27"/>
      <c r="I149" s="27"/>
      <c r="J149" s="27"/>
      <c r="K149" s="27"/>
      <c r="L149" s="27"/>
      <c r="M149" s="27"/>
      <c r="N149" s="27"/>
      <c r="O149" s="27"/>
      <c r="P149" s="27"/>
    </row>
    <row r="150" spans="1:22">
      <c r="A150" s="29" t="s">
        <v>7</v>
      </c>
      <c r="B150" s="29" t="s">
        <v>485</v>
      </c>
      <c r="C150" s="29"/>
      <c r="D150" s="29"/>
      <c r="E150" s="29"/>
      <c r="F150" s="29"/>
      <c r="G150" s="29"/>
      <c r="H150" s="29"/>
      <c r="I150" s="29"/>
      <c r="J150" s="29"/>
      <c r="K150" s="29"/>
      <c r="L150" s="29"/>
      <c r="M150" s="29"/>
      <c r="N150" s="29"/>
      <c r="O150" s="29"/>
      <c r="P150" s="29"/>
    </row>
    <row r="151" spans="1:22">
      <c r="A151" s="29" t="s">
        <v>9</v>
      </c>
      <c r="B151" s="30" t="s">
        <v>568</v>
      </c>
      <c r="C151" s="29"/>
      <c r="D151" s="29"/>
      <c r="E151" s="29"/>
      <c r="F151" s="29"/>
      <c r="G151" s="29"/>
      <c r="H151" s="29"/>
      <c r="I151" s="29"/>
      <c r="J151" s="29"/>
      <c r="K151" s="29"/>
      <c r="L151" s="29"/>
      <c r="M151" s="29"/>
      <c r="N151" s="29"/>
      <c r="O151" s="29"/>
      <c r="P151" s="29"/>
    </row>
    <row r="152" spans="1:22">
      <c r="A152" s="29" t="s">
        <v>11</v>
      </c>
      <c r="B152" s="29" t="s">
        <v>526</v>
      </c>
      <c r="C152" s="29"/>
      <c r="D152" s="29"/>
      <c r="E152" s="29"/>
      <c r="F152" s="29"/>
      <c r="G152" s="29"/>
      <c r="H152" s="29"/>
      <c r="I152" s="29"/>
      <c r="J152" s="29"/>
      <c r="K152" s="29"/>
      <c r="L152" s="29"/>
      <c r="M152" s="29"/>
      <c r="N152" s="29"/>
      <c r="O152" s="29"/>
      <c r="P152" s="29"/>
    </row>
    <row r="153" spans="1:22">
      <c r="A153" s="29" t="s">
        <v>13</v>
      </c>
      <c r="B153" s="29" t="s">
        <v>57</v>
      </c>
      <c r="C153" s="29"/>
      <c r="D153" s="29"/>
      <c r="E153" s="29"/>
      <c r="F153" s="29"/>
      <c r="G153" s="29"/>
      <c r="H153" s="29"/>
      <c r="I153" s="29"/>
      <c r="J153" s="29"/>
      <c r="K153" s="29"/>
      <c r="L153" s="29"/>
      <c r="M153" s="29"/>
      <c r="N153" s="29"/>
      <c r="O153" s="29"/>
      <c r="P153" s="29"/>
    </row>
    <row r="154" spans="1:22">
      <c r="A154" s="29" t="s">
        <v>15</v>
      </c>
      <c r="B154" s="29">
        <v>1</v>
      </c>
      <c r="C154" s="29"/>
      <c r="D154" s="29"/>
      <c r="E154" s="29"/>
      <c r="F154" s="29"/>
      <c r="G154" s="29"/>
      <c r="H154" s="29"/>
      <c r="I154" s="29"/>
      <c r="J154" s="29"/>
      <c r="K154" s="29"/>
      <c r="L154" s="29"/>
      <c r="M154" s="29"/>
      <c r="N154" s="29"/>
      <c r="O154" s="29"/>
      <c r="P154" s="29"/>
    </row>
    <row r="155" spans="1:22">
      <c r="A155" s="29" t="s">
        <v>16</v>
      </c>
      <c r="B155" s="29" t="s">
        <v>17</v>
      </c>
      <c r="C155" s="29"/>
      <c r="D155" s="29"/>
      <c r="E155" s="29"/>
      <c r="F155" s="29"/>
      <c r="G155" s="29"/>
      <c r="H155" s="29"/>
      <c r="I155" s="29"/>
      <c r="J155" s="29"/>
      <c r="K155" s="29"/>
      <c r="L155" s="29"/>
      <c r="M155" s="29"/>
      <c r="N155" s="29"/>
      <c r="O155" s="29"/>
      <c r="P155" s="29"/>
    </row>
    <row r="156" spans="1:22" ht="15.75">
      <c r="A156" s="29" t="s">
        <v>18</v>
      </c>
      <c r="B156" s="31" t="s">
        <v>37</v>
      </c>
      <c r="C156" s="29"/>
      <c r="D156" s="29"/>
      <c r="E156" s="29" t="s">
        <v>226</v>
      </c>
      <c r="F156" s="29"/>
      <c r="G156" s="29"/>
      <c r="H156" s="29"/>
      <c r="I156" s="29"/>
      <c r="J156" s="29"/>
      <c r="K156" s="29"/>
      <c r="L156" s="29"/>
      <c r="M156" s="29"/>
      <c r="N156" s="29"/>
      <c r="O156" s="29"/>
      <c r="P156" s="29"/>
    </row>
    <row r="157" spans="1:22" ht="15.75">
      <c r="A157" s="32" t="s">
        <v>19</v>
      </c>
      <c r="B157" s="29"/>
      <c r="C157" s="29"/>
      <c r="D157" s="29"/>
      <c r="E157" s="29"/>
      <c r="F157" s="29"/>
      <c r="G157" s="29"/>
      <c r="H157" s="29"/>
      <c r="I157" s="29"/>
      <c r="J157" s="29"/>
      <c r="K157" s="29"/>
      <c r="L157" s="29"/>
      <c r="M157" s="29"/>
      <c r="N157" s="29"/>
      <c r="O157" s="29"/>
      <c r="P157" s="29"/>
    </row>
    <row r="158" spans="1:22" ht="15.75">
      <c r="A158" s="32" t="s">
        <v>20</v>
      </c>
      <c r="B158" s="32" t="s">
        <v>21</v>
      </c>
      <c r="C158" s="32" t="s">
        <v>209</v>
      </c>
      <c r="D158" s="32" t="s">
        <v>18</v>
      </c>
      <c r="E158" s="32" t="s">
        <v>22</v>
      </c>
      <c r="F158" s="32" t="s">
        <v>7</v>
      </c>
      <c r="G158" s="32" t="s">
        <v>13</v>
      </c>
      <c r="H158" s="32" t="s">
        <v>16</v>
      </c>
      <c r="I158" s="32" t="s">
        <v>23</v>
      </c>
      <c r="J158" s="32" t="s">
        <v>24</v>
      </c>
      <c r="K158" s="32" t="s">
        <v>25</v>
      </c>
      <c r="L158" s="32" t="s">
        <v>26</v>
      </c>
      <c r="M158" s="32" t="s">
        <v>27</v>
      </c>
      <c r="N158" s="32" t="s">
        <v>28</v>
      </c>
      <c r="O158" s="32" t="s">
        <v>11</v>
      </c>
      <c r="P158" s="32" t="s">
        <v>483</v>
      </c>
    </row>
    <row r="159" spans="1:22" ht="15.75">
      <c r="A159" s="31" t="str">
        <f>B149</f>
        <v>treatment of system, frunishing and, operative equipment, airframe, conventional, Medium-Term</v>
      </c>
      <c r="B159" s="31">
        <v>1</v>
      </c>
      <c r="C159" s="31"/>
      <c r="D159" s="31" t="s">
        <v>37</v>
      </c>
      <c r="E159" s="29" t="s">
        <v>2</v>
      </c>
      <c r="F159" s="29" t="s">
        <v>527</v>
      </c>
      <c r="G159" s="31" t="s">
        <v>57</v>
      </c>
      <c r="H159" s="29" t="s">
        <v>30</v>
      </c>
      <c r="I159" s="29">
        <v>0</v>
      </c>
      <c r="J159" s="31" t="s">
        <v>31</v>
      </c>
      <c r="K159" s="31" t="s">
        <v>31</v>
      </c>
      <c r="L159" s="31" t="s">
        <v>31</v>
      </c>
      <c r="M159" s="31" t="s">
        <v>31</v>
      </c>
      <c r="N159" s="31" t="s">
        <v>31</v>
      </c>
      <c r="O159" s="31"/>
      <c r="P159" s="29"/>
    </row>
    <row r="160" spans="1:22" ht="15.75">
      <c r="A160" t="str">
        <f>B91</f>
        <v>treatment of aluminium, fuselage, airframe, conventional, Medium-Term</v>
      </c>
      <c r="B160">
        <v>430.15800000000013</v>
      </c>
      <c r="D160" s="31" t="s">
        <v>37</v>
      </c>
      <c r="E160" s="29" t="s">
        <v>2</v>
      </c>
      <c r="F160" s="29" t="s">
        <v>527</v>
      </c>
      <c r="G160" s="31" t="s">
        <v>57</v>
      </c>
      <c r="H160" s="29" t="s">
        <v>30</v>
      </c>
      <c r="I160" s="29">
        <v>0</v>
      </c>
      <c r="J160" s="31" t="s">
        <v>31</v>
      </c>
      <c r="K160" s="31" t="s">
        <v>31</v>
      </c>
      <c r="L160" s="31" t="s">
        <v>31</v>
      </c>
      <c r="M160" s="31" t="s">
        <v>31</v>
      </c>
      <c r="N160" s="31" t="s">
        <v>31</v>
      </c>
      <c r="O160" s="31" t="s">
        <v>569</v>
      </c>
    </row>
    <row r="161" spans="1:16" ht="15.75">
      <c r="A161" s="35" t="s">
        <v>521</v>
      </c>
      <c r="B161" s="29">
        <v>420.41844479999997</v>
      </c>
      <c r="D161" t="s">
        <v>37</v>
      </c>
      <c r="E161" s="36" t="s">
        <v>38</v>
      </c>
      <c r="F161" s="29" t="s">
        <v>527</v>
      </c>
      <c r="G161" t="s">
        <v>130</v>
      </c>
      <c r="H161" t="s">
        <v>33</v>
      </c>
      <c r="I161" s="29">
        <v>0</v>
      </c>
      <c r="J161" s="31" t="s">
        <v>31</v>
      </c>
      <c r="K161" s="31" t="s">
        <v>31</v>
      </c>
      <c r="L161" s="31" t="s">
        <v>31</v>
      </c>
      <c r="M161" s="31" t="s">
        <v>31</v>
      </c>
      <c r="N161" s="31" t="s">
        <v>31</v>
      </c>
      <c r="O161" s="31" t="s">
        <v>570</v>
      </c>
    </row>
    <row r="162" spans="1:16">
      <c r="A162" t="s">
        <v>489</v>
      </c>
      <c r="B162" s="22">
        <v>-47.819000000000003</v>
      </c>
      <c r="D162" t="s">
        <v>37</v>
      </c>
      <c r="E162" s="35" t="s">
        <v>38</v>
      </c>
      <c r="F162" s="29" t="s">
        <v>527</v>
      </c>
      <c r="G162" t="s">
        <v>57</v>
      </c>
      <c r="H162" t="s">
        <v>33</v>
      </c>
      <c r="I162">
        <v>0</v>
      </c>
      <c r="J162" t="s">
        <v>31</v>
      </c>
      <c r="K162" t="s">
        <v>31</v>
      </c>
      <c r="L162" t="s">
        <v>31</v>
      </c>
      <c r="M162" t="s">
        <v>31</v>
      </c>
      <c r="N162" t="s">
        <v>31</v>
      </c>
      <c r="O162" s="29" t="s">
        <v>571</v>
      </c>
    </row>
    <row r="163" spans="1:16">
      <c r="A163" t="s">
        <v>489</v>
      </c>
      <c r="B163">
        <v>-7.3369999999999997</v>
      </c>
      <c r="D163" t="s">
        <v>37</v>
      </c>
      <c r="E163" s="35" t="s">
        <v>38</v>
      </c>
      <c r="F163" s="29" t="s">
        <v>527</v>
      </c>
      <c r="G163" t="s">
        <v>57</v>
      </c>
      <c r="H163" t="s">
        <v>33</v>
      </c>
      <c r="I163">
        <v>0</v>
      </c>
      <c r="J163" t="s">
        <v>31</v>
      </c>
      <c r="K163" t="s">
        <v>31</v>
      </c>
      <c r="L163" t="s">
        <v>31</v>
      </c>
      <c r="M163" t="s">
        <v>31</v>
      </c>
      <c r="N163" t="s">
        <v>31</v>
      </c>
      <c r="O163" s="29" t="s">
        <v>572</v>
      </c>
    </row>
    <row r="164" spans="1:16" ht="15.75">
      <c r="A164" s="35" t="s">
        <v>521</v>
      </c>
      <c r="B164" s="29">
        <v>133.7013024</v>
      </c>
      <c r="D164" t="s">
        <v>37</v>
      </c>
      <c r="E164" s="36" t="s">
        <v>38</v>
      </c>
      <c r="F164" s="29" t="s">
        <v>527</v>
      </c>
      <c r="G164" t="s">
        <v>130</v>
      </c>
      <c r="H164" t="s">
        <v>33</v>
      </c>
      <c r="I164" s="29">
        <v>0</v>
      </c>
      <c r="J164" s="31" t="s">
        <v>31</v>
      </c>
      <c r="K164" s="31" t="s">
        <v>31</v>
      </c>
      <c r="L164" s="31" t="s">
        <v>31</v>
      </c>
      <c r="M164" s="31" t="s">
        <v>31</v>
      </c>
      <c r="N164" s="31" t="s">
        <v>31</v>
      </c>
      <c r="O164" s="31" t="s">
        <v>573</v>
      </c>
    </row>
    <row r="165" spans="1:16" ht="15.75">
      <c r="A165" s="35" t="s">
        <v>521</v>
      </c>
      <c r="B165" s="29">
        <v>10</v>
      </c>
      <c r="D165" t="s">
        <v>37</v>
      </c>
      <c r="E165" s="36" t="s">
        <v>38</v>
      </c>
      <c r="F165" s="29" t="s">
        <v>527</v>
      </c>
      <c r="G165" t="s">
        <v>130</v>
      </c>
      <c r="H165" t="s">
        <v>33</v>
      </c>
      <c r="I165" s="29">
        <v>0</v>
      </c>
      <c r="J165" s="31" t="s">
        <v>31</v>
      </c>
      <c r="K165" s="31" t="s">
        <v>31</v>
      </c>
      <c r="L165" s="31" t="s">
        <v>31</v>
      </c>
      <c r="M165" s="31" t="s">
        <v>31</v>
      </c>
      <c r="N165" s="31" t="s">
        <v>31</v>
      </c>
      <c r="O165" s="31" t="s">
        <v>574</v>
      </c>
    </row>
    <row r="166" spans="1:16" ht="15.75">
      <c r="A166" s="35" t="s">
        <v>521</v>
      </c>
      <c r="B166" s="29">
        <v>10.5</v>
      </c>
      <c r="D166" t="s">
        <v>37</v>
      </c>
      <c r="E166" s="36" t="s">
        <v>38</v>
      </c>
      <c r="F166" s="29" t="s">
        <v>527</v>
      </c>
      <c r="G166" t="s">
        <v>130</v>
      </c>
      <c r="H166" t="s">
        <v>33</v>
      </c>
      <c r="I166" s="29">
        <v>0</v>
      </c>
      <c r="J166" s="31" t="s">
        <v>31</v>
      </c>
      <c r="K166" s="31" t="s">
        <v>31</v>
      </c>
      <c r="L166" s="31" t="s">
        <v>31</v>
      </c>
      <c r="M166" s="31" t="s">
        <v>31</v>
      </c>
      <c r="N166" s="31" t="s">
        <v>31</v>
      </c>
      <c r="O166" s="31" t="s">
        <v>575</v>
      </c>
    </row>
    <row r="167" spans="1:16" ht="15.75">
      <c r="A167" t="s">
        <v>489</v>
      </c>
      <c r="B167" s="29">
        <v>-6.26</v>
      </c>
      <c r="D167" t="s">
        <v>37</v>
      </c>
      <c r="E167" s="35" t="s">
        <v>38</v>
      </c>
      <c r="F167" s="29" t="s">
        <v>527</v>
      </c>
      <c r="G167" t="s">
        <v>57</v>
      </c>
      <c r="H167" t="s">
        <v>33</v>
      </c>
      <c r="I167">
        <v>0</v>
      </c>
      <c r="J167" t="s">
        <v>31</v>
      </c>
      <c r="K167" t="s">
        <v>31</v>
      </c>
      <c r="L167" t="s">
        <v>31</v>
      </c>
      <c r="M167" t="s">
        <v>31</v>
      </c>
      <c r="N167" t="s">
        <v>31</v>
      </c>
      <c r="O167" s="31" t="s">
        <v>576</v>
      </c>
    </row>
    <row r="168" spans="1:16">
      <c r="A168" t="s">
        <v>489</v>
      </c>
      <c r="B168" s="29">
        <v>-15.526999999999999</v>
      </c>
      <c r="D168" t="s">
        <v>37</v>
      </c>
      <c r="E168" s="35" t="s">
        <v>38</v>
      </c>
      <c r="F168" s="29" t="s">
        <v>527</v>
      </c>
      <c r="G168" t="s">
        <v>57</v>
      </c>
      <c r="H168" t="s">
        <v>33</v>
      </c>
      <c r="I168">
        <v>0</v>
      </c>
      <c r="J168" t="s">
        <v>31</v>
      </c>
      <c r="K168" t="s">
        <v>31</v>
      </c>
      <c r="L168" t="s">
        <v>31</v>
      </c>
      <c r="M168" t="s">
        <v>31</v>
      </c>
      <c r="N168" t="s">
        <v>31</v>
      </c>
      <c r="O168" s="29" t="s">
        <v>577</v>
      </c>
    </row>
    <row r="169" spans="1:16" s="41" customFormat="1" ht="15.75">
      <c r="A169" s="38" t="s">
        <v>5</v>
      </c>
      <c r="B169" s="38" t="s">
        <v>578</v>
      </c>
      <c r="C169" s="38"/>
      <c r="D169" s="39"/>
      <c r="E169" s="40"/>
      <c r="F169" s="40"/>
      <c r="G169" s="40"/>
      <c r="H169" s="40"/>
      <c r="I169" s="40"/>
      <c r="J169" s="40"/>
      <c r="K169" s="40"/>
      <c r="L169" s="40"/>
      <c r="M169" s="40"/>
      <c r="N169" s="40"/>
      <c r="O169" s="40"/>
      <c r="P169" s="40"/>
    </row>
    <row r="170" spans="1:16">
      <c r="A170" s="29" t="s">
        <v>7</v>
      </c>
      <c r="B170" s="29" t="s">
        <v>485</v>
      </c>
      <c r="C170" s="29"/>
      <c r="D170" s="29"/>
      <c r="E170" s="29"/>
      <c r="F170" s="29"/>
      <c r="G170" s="29"/>
      <c r="H170" s="29"/>
      <c r="I170" s="29"/>
      <c r="J170" s="29"/>
      <c r="K170" s="29"/>
      <c r="L170" s="29"/>
      <c r="M170" s="29"/>
      <c r="N170" s="29"/>
      <c r="O170" s="29"/>
      <c r="P170" s="29"/>
    </row>
    <row r="171" spans="1:16">
      <c r="A171" s="29" t="s">
        <v>9</v>
      </c>
      <c r="B171" s="30" t="s">
        <v>579</v>
      </c>
      <c r="C171" s="29"/>
      <c r="D171" s="29"/>
      <c r="E171" s="29"/>
      <c r="F171" s="29"/>
      <c r="G171" s="29"/>
      <c r="H171" s="29"/>
      <c r="I171" s="29"/>
      <c r="J171" s="29"/>
      <c r="K171" s="29"/>
      <c r="L171" s="29"/>
      <c r="M171" s="29"/>
      <c r="N171" s="29"/>
      <c r="O171" s="29"/>
      <c r="P171" s="29"/>
    </row>
    <row r="172" spans="1:16">
      <c r="A172" s="29" t="s">
        <v>11</v>
      </c>
      <c r="B172" s="29" t="s">
        <v>580</v>
      </c>
      <c r="C172" s="29"/>
      <c r="D172" s="29"/>
      <c r="E172" s="29"/>
      <c r="F172" s="29"/>
      <c r="G172" s="29"/>
      <c r="H172" s="29"/>
      <c r="I172" s="29"/>
      <c r="J172" s="29"/>
      <c r="K172" s="29"/>
      <c r="L172" s="29"/>
      <c r="M172" s="29"/>
      <c r="N172" s="29"/>
      <c r="O172" s="29"/>
      <c r="P172" s="29"/>
    </row>
    <row r="173" spans="1:16">
      <c r="A173" s="29" t="s">
        <v>13</v>
      </c>
      <c r="B173" s="29" t="s">
        <v>57</v>
      </c>
      <c r="C173" s="29"/>
      <c r="D173" s="29"/>
      <c r="E173" s="29"/>
      <c r="F173" s="29"/>
      <c r="G173" s="29"/>
      <c r="H173" s="29"/>
      <c r="I173" s="29"/>
      <c r="J173" s="29"/>
      <c r="K173" s="29"/>
      <c r="L173" s="29"/>
      <c r="M173" s="29"/>
      <c r="N173" s="29"/>
      <c r="O173" s="29"/>
      <c r="P173" s="29"/>
    </row>
    <row r="174" spans="1:16">
      <c r="A174" s="29" t="s">
        <v>15</v>
      </c>
      <c r="B174" s="29">
        <v>1</v>
      </c>
      <c r="C174" s="29"/>
      <c r="D174" s="29"/>
      <c r="E174" s="29"/>
      <c r="F174" s="29"/>
      <c r="G174" s="29"/>
      <c r="H174" s="29"/>
      <c r="I174" s="29"/>
      <c r="J174" s="29"/>
      <c r="K174" s="29"/>
      <c r="L174" s="29"/>
      <c r="M174" s="29"/>
      <c r="N174" s="29"/>
      <c r="O174" s="29"/>
      <c r="P174" s="29"/>
    </row>
    <row r="175" spans="1:16">
      <c r="A175" s="29" t="s">
        <v>16</v>
      </c>
      <c r="B175" s="29" t="s">
        <v>17</v>
      </c>
      <c r="C175" s="29"/>
      <c r="D175" s="29"/>
      <c r="E175" s="29"/>
      <c r="F175" s="29"/>
      <c r="G175" s="29"/>
      <c r="H175" s="29"/>
      <c r="I175" s="29"/>
      <c r="J175" s="29"/>
      <c r="K175" s="29"/>
      <c r="L175" s="29"/>
      <c r="M175" s="29"/>
      <c r="N175" s="29"/>
      <c r="O175" s="29"/>
      <c r="P175" s="29"/>
    </row>
    <row r="176" spans="1:16" ht="15.75">
      <c r="A176" s="29" t="s">
        <v>18</v>
      </c>
      <c r="B176" s="31" t="s">
        <v>18</v>
      </c>
      <c r="C176" s="29"/>
      <c r="D176" s="29"/>
      <c r="E176" s="29" t="s">
        <v>226</v>
      </c>
      <c r="F176" s="29"/>
      <c r="G176" s="29"/>
      <c r="H176" s="29"/>
      <c r="I176" s="29"/>
      <c r="J176" s="29"/>
      <c r="K176" s="29"/>
      <c r="L176" s="29"/>
      <c r="M176" s="29"/>
      <c r="N176" s="29"/>
      <c r="O176" s="29"/>
      <c r="P176" s="29"/>
    </row>
    <row r="177" spans="1:16" ht="15.75">
      <c r="A177" s="32" t="s">
        <v>19</v>
      </c>
      <c r="B177" s="29"/>
      <c r="C177" s="29"/>
      <c r="D177" s="29"/>
      <c r="E177" s="29"/>
      <c r="F177" s="29"/>
      <c r="G177" s="29"/>
      <c r="H177" s="29"/>
      <c r="I177" s="29"/>
      <c r="J177" s="29"/>
      <c r="K177" s="29"/>
      <c r="L177" s="29"/>
      <c r="M177" s="29"/>
      <c r="N177" s="29"/>
      <c r="O177" s="29"/>
      <c r="P177" s="29"/>
    </row>
    <row r="178" spans="1:16" ht="15.75">
      <c r="A178" s="32" t="s">
        <v>20</v>
      </c>
      <c r="B178" s="32" t="s">
        <v>21</v>
      </c>
      <c r="C178" s="32" t="s">
        <v>209</v>
      </c>
      <c r="D178" s="32" t="s">
        <v>18</v>
      </c>
      <c r="E178" s="32" t="s">
        <v>22</v>
      </c>
      <c r="F178" s="32" t="s">
        <v>7</v>
      </c>
      <c r="G178" s="32" t="s">
        <v>13</v>
      </c>
      <c r="H178" s="32" t="s">
        <v>16</v>
      </c>
      <c r="I178" s="32" t="s">
        <v>23</v>
      </c>
      <c r="J178" s="32" t="s">
        <v>24</v>
      </c>
      <c r="K178" s="32" t="s">
        <v>25</v>
      </c>
      <c r="L178" s="32" t="s">
        <v>26</v>
      </c>
      <c r="M178" s="32" t="s">
        <v>27</v>
      </c>
      <c r="N178" s="32" t="s">
        <v>28</v>
      </c>
      <c r="O178" s="32" t="s">
        <v>11</v>
      </c>
      <c r="P178" s="32" t="s">
        <v>483</v>
      </c>
    </row>
    <row r="179" spans="1:16" ht="15.75">
      <c r="A179" s="31" t="str">
        <f>B169</f>
        <v>treatment wing , airframe, conventional, Medium-Term</v>
      </c>
      <c r="B179">
        <v>1</v>
      </c>
      <c r="C179" s="31"/>
      <c r="D179" s="31" t="s">
        <v>18</v>
      </c>
      <c r="E179" s="29" t="s">
        <v>2</v>
      </c>
      <c r="F179" s="29" t="s">
        <v>527</v>
      </c>
      <c r="G179" s="31" t="s">
        <v>57</v>
      </c>
      <c r="H179" s="29" t="s">
        <v>30</v>
      </c>
      <c r="I179" s="29">
        <v>0</v>
      </c>
      <c r="J179" s="31" t="s">
        <v>31</v>
      </c>
      <c r="K179" s="31" t="s">
        <v>31</v>
      </c>
      <c r="L179" s="31" t="s">
        <v>31</v>
      </c>
      <c r="M179" s="31" t="s">
        <v>31</v>
      </c>
      <c r="N179" s="31" t="s">
        <v>31</v>
      </c>
      <c r="O179" s="31"/>
      <c r="P179" s="29"/>
    </row>
    <row r="180" spans="1:16" ht="15.75">
      <c r="A180" t="str">
        <f>B2</f>
        <v>treatment of aluminium, wing, airframe, conventional, Medium-Term</v>
      </c>
      <c r="B180" s="42">
        <v>1526.2996000000001</v>
      </c>
      <c r="C180" s="31"/>
      <c r="D180" s="31" t="s">
        <v>37</v>
      </c>
      <c r="E180" s="29" t="s">
        <v>2</v>
      </c>
      <c r="F180" s="29" t="s">
        <v>527</v>
      </c>
      <c r="G180" s="31" t="s">
        <v>57</v>
      </c>
      <c r="H180" s="29" t="s">
        <v>33</v>
      </c>
      <c r="I180" s="29">
        <v>0</v>
      </c>
      <c r="J180" s="31" t="s">
        <v>31</v>
      </c>
      <c r="K180" s="31" t="s">
        <v>31</v>
      </c>
      <c r="L180" s="31" t="s">
        <v>31</v>
      </c>
      <c r="M180" s="31" t="s">
        <v>31</v>
      </c>
      <c r="N180" s="31" t="s">
        <v>31</v>
      </c>
    </row>
    <row r="181" spans="1:16" ht="15.75">
      <c r="A181" t="str">
        <f>B17</f>
        <v>treatment of CFRP, wing, airframe, conventional, Medium-Term</v>
      </c>
      <c r="B181" s="42">
        <v>139.3152</v>
      </c>
      <c r="C181" s="31"/>
      <c r="D181" s="31" t="s">
        <v>37</v>
      </c>
      <c r="E181" s="29" t="s">
        <v>2</v>
      </c>
      <c r="F181" s="29" t="s">
        <v>527</v>
      </c>
      <c r="G181" s="31" t="s">
        <v>57</v>
      </c>
      <c r="H181" s="29" t="s">
        <v>33</v>
      </c>
      <c r="I181" s="29">
        <v>0</v>
      </c>
      <c r="J181" s="31" t="s">
        <v>31</v>
      </c>
      <c r="K181" s="31" t="s">
        <v>31</v>
      </c>
      <c r="L181" s="31" t="s">
        <v>31</v>
      </c>
      <c r="M181" s="31" t="s">
        <v>31</v>
      </c>
      <c r="N181" s="31" t="s">
        <v>31</v>
      </c>
    </row>
    <row r="182" spans="1:16" ht="15.75">
      <c r="A182" t="str">
        <f>B32</f>
        <v>treatment of steel, wing, airframe, conventional, Medium-Term</v>
      </c>
      <c r="B182" s="42">
        <v>51.336199999999998</v>
      </c>
      <c r="C182" s="31"/>
      <c r="D182" s="31" t="s">
        <v>37</v>
      </c>
      <c r="E182" s="29" t="s">
        <v>2</v>
      </c>
      <c r="F182" s="29" t="s">
        <v>527</v>
      </c>
      <c r="G182" s="31" t="s">
        <v>57</v>
      </c>
      <c r="H182" s="29" t="s">
        <v>33</v>
      </c>
      <c r="I182" s="29">
        <v>0</v>
      </c>
      <c r="J182" s="31" t="s">
        <v>31</v>
      </c>
      <c r="K182" s="31" t="s">
        <v>31</v>
      </c>
      <c r="L182" s="31" t="s">
        <v>31</v>
      </c>
      <c r="M182" s="31" t="s">
        <v>31</v>
      </c>
      <c r="N182" s="31" t="s">
        <v>31</v>
      </c>
    </row>
    <row r="183" spans="1:16" ht="15.75">
      <c r="A183" t="str">
        <f>B46</f>
        <v>treatment of titanium, wing, airframe, conventional, Medium-Term</v>
      </c>
      <c r="B183" s="42">
        <v>97.049000000000007</v>
      </c>
      <c r="C183" s="31"/>
      <c r="D183" s="31" t="s">
        <v>37</v>
      </c>
      <c r="E183" s="29" t="s">
        <v>2</v>
      </c>
      <c r="F183" s="29" t="s">
        <v>527</v>
      </c>
      <c r="G183" s="31" t="s">
        <v>57</v>
      </c>
      <c r="H183" s="29" t="s">
        <v>33</v>
      </c>
      <c r="I183" s="29">
        <v>0</v>
      </c>
      <c r="J183" s="31" t="s">
        <v>31</v>
      </c>
      <c r="K183" s="31" t="s">
        <v>31</v>
      </c>
      <c r="L183" s="31" t="s">
        <v>31</v>
      </c>
      <c r="M183" s="31" t="s">
        <v>31</v>
      </c>
      <c r="N183" s="31" t="s">
        <v>31</v>
      </c>
    </row>
    <row r="184" spans="1:16" s="41" customFormat="1" ht="15.75">
      <c r="A184" s="38" t="s">
        <v>5</v>
      </c>
      <c r="B184" s="38" t="s">
        <v>581</v>
      </c>
      <c r="C184" s="38"/>
      <c r="D184" s="39"/>
      <c r="E184" s="40"/>
      <c r="F184" s="40"/>
      <c r="G184" s="40"/>
      <c r="H184" s="40"/>
      <c r="I184" s="40"/>
      <c r="J184" s="40"/>
      <c r="K184" s="40"/>
      <c r="L184" s="40"/>
      <c r="M184" s="40"/>
      <c r="N184" s="40"/>
      <c r="O184" s="40"/>
      <c r="P184" s="40"/>
    </row>
    <row r="185" spans="1:16">
      <c r="A185" s="29" t="s">
        <v>7</v>
      </c>
      <c r="B185" s="29" t="s">
        <v>485</v>
      </c>
      <c r="C185" s="29"/>
      <c r="D185" s="29"/>
      <c r="E185" s="29"/>
      <c r="F185" s="29"/>
      <c r="G185" s="29"/>
      <c r="H185" s="29"/>
      <c r="I185" s="29"/>
      <c r="J185" s="29"/>
      <c r="K185" s="29"/>
      <c r="L185" s="29"/>
      <c r="M185" s="29"/>
      <c r="N185" s="29"/>
      <c r="O185" s="29"/>
      <c r="P185" s="29"/>
    </row>
    <row r="186" spans="1:16">
      <c r="A186" s="29" t="s">
        <v>9</v>
      </c>
      <c r="B186" s="30" t="s">
        <v>582</v>
      </c>
      <c r="C186" s="29"/>
      <c r="D186" s="29"/>
      <c r="E186" s="29"/>
      <c r="F186" s="29"/>
      <c r="G186" s="29"/>
      <c r="H186" s="29"/>
      <c r="I186" s="29"/>
      <c r="J186" s="29"/>
      <c r="K186" s="29"/>
      <c r="L186" s="29"/>
      <c r="M186" s="29"/>
      <c r="N186" s="29"/>
      <c r="O186" s="29"/>
      <c r="P186" s="29"/>
    </row>
    <row r="187" spans="1:16">
      <c r="A187" s="29" t="s">
        <v>11</v>
      </c>
      <c r="B187" s="29" t="s">
        <v>580</v>
      </c>
      <c r="C187" s="29"/>
      <c r="D187" s="29"/>
      <c r="E187" s="29"/>
      <c r="F187" s="29"/>
      <c r="G187" s="29"/>
      <c r="H187" s="29"/>
      <c r="I187" s="29"/>
      <c r="J187" s="29"/>
      <c r="K187" s="29"/>
      <c r="L187" s="29"/>
      <c r="M187" s="29"/>
      <c r="N187" s="29"/>
      <c r="O187" s="29"/>
      <c r="P187" s="29"/>
    </row>
    <row r="188" spans="1:16">
      <c r="A188" s="29" t="s">
        <v>13</v>
      </c>
      <c r="B188" s="29" t="s">
        <v>57</v>
      </c>
      <c r="C188" s="29"/>
      <c r="D188" s="29"/>
      <c r="E188" s="29"/>
      <c r="F188" s="29"/>
      <c r="G188" s="29"/>
      <c r="H188" s="29"/>
      <c r="I188" s="29"/>
      <c r="J188" s="29"/>
      <c r="K188" s="29"/>
      <c r="L188" s="29"/>
      <c r="M188" s="29"/>
      <c r="N188" s="29"/>
      <c r="O188" s="29"/>
      <c r="P188" s="29"/>
    </row>
    <row r="189" spans="1:16">
      <c r="A189" s="29" t="s">
        <v>15</v>
      </c>
      <c r="B189" s="29">
        <v>1</v>
      </c>
      <c r="C189" s="29"/>
      <c r="D189" s="29"/>
      <c r="E189" s="29"/>
      <c r="F189" s="29"/>
      <c r="G189" s="29"/>
      <c r="H189" s="29"/>
      <c r="I189" s="29"/>
      <c r="J189" s="29"/>
      <c r="K189" s="29"/>
      <c r="L189" s="29"/>
      <c r="M189" s="29"/>
      <c r="N189" s="29"/>
      <c r="O189" s="29"/>
      <c r="P189" s="29"/>
    </row>
    <row r="190" spans="1:16">
      <c r="A190" s="29" t="s">
        <v>16</v>
      </c>
      <c r="B190" s="29" t="s">
        <v>17</v>
      </c>
      <c r="C190" s="29"/>
      <c r="D190" s="29"/>
      <c r="E190" s="29"/>
      <c r="F190" s="29"/>
      <c r="G190" s="29"/>
      <c r="H190" s="29"/>
      <c r="I190" s="29"/>
      <c r="J190" s="29"/>
      <c r="K190" s="29"/>
      <c r="L190" s="29"/>
      <c r="M190" s="29"/>
      <c r="N190" s="29"/>
      <c r="O190" s="29"/>
      <c r="P190" s="29"/>
    </row>
    <row r="191" spans="1:16" ht="15.75">
      <c r="A191" s="29" t="s">
        <v>18</v>
      </c>
      <c r="B191" s="31" t="s">
        <v>18</v>
      </c>
      <c r="C191" s="29"/>
      <c r="D191" s="29"/>
      <c r="E191" s="29" t="s">
        <v>226</v>
      </c>
      <c r="F191" s="29"/>
      <c r="G191" s="29"/>
      <c r="H191" s="29"/>
      <c r="I191" s="29"/>
      <c r="J191" s="29"/>
      <c r="K191" s="29"/>
      <c r="L191" s="29"/>
      <c r="M191" s="29"/>
      <c r="N191" s="29"/>
      <c r="O191" s="29"/>
      <c r="P191" s="29"/>
    </row>
    <row r="192" spans="1:16" ht="15.75">
      <c r="A192" s="32" t="s">
        <v>19</v>
      </c>
      <c r="B192" s="29"/>
      <c r="C192" s="29"/>
      <c r="D192" s="29"/>
      <c r="E192" s="29"/>
      <c r="F192" s="29"/>
      <c r="G192" s="29"/>
      <c r="H192" s="29"/>
      <c r="I192" s="29"/>
      <c r="J192" s="29"/>
      <c r="K192" s="29"/>
      <c r="L192" s="29"/>
      <c r="M192" s="29"/>
      <c r="N192" s="29"/>
      <c r="O192" s="29"/>
      <c r="P192" s="29"/>
    </row>
    <row r="193" spans="1:16" ht="15.75">
      <c r="A193" s="32" t="s">
        <v>20</v>
      </c>
      <c r="B193" s="32" t="s">
        <v>21</v>
      </c>
      <c r="C193" s="32" t="s">
        <v>209</v>
      </c>
      <c r="D193" s="32" t="s">
        <v>18</v>
      </c>
      <c r="E193" s="32" t="s">
        <v>22</v>
      </c>
      <c r="F193" s="32" t="s">
        <v>7</v>
      </c>
      <c r="G193" s="32" t="s">
        <v>13</v>
      </c>
      <c r="H193" s="32" t="s">
        <v>16</v>
      </c>
      <c r="I193" s="32" t="s">
        <v>23</v>
      </c>
      <c r="J193" s="32" t="s">
        <v>24</v>
      </c>
      <c r="K193" s="32" t="s">
        <v>25</v>
      </c>
      <c r="L193" s="32" t="s">
        <v>26</v>
      </c>
      <c r="M193" s="32" t="s">
        <v>27</v>
      </c>
      <c r="N193" s="32" t="s">
        <v>28</v>
      </c>
      <c r="O193" s="32" t="s">
        <v>11</v>
      </c>
      <c r="P193" s="32" t="s">
        <v>483</v>
      </c>
    </row>
    <row r="194" spans="1:16" ht="15.75">
      <c r="A194" s="31" t="str">
        <f>B184</f>
        <v>treatment tail , airframe, conventional, Medium-Term</v>
      </c>
      <c r="B194">
        <v>1</v>
      </c>
      <c r="C194" s="31"/>
      <c r="D194" s="31" t="s">
        <v>18</v>
      </c>
      <c r="E194" s="29" t="s">
        <v>2</v>
      </c>
      <c r="F194" s="29" t="s">
        <v>527</v>
      </c>
      <c r="G194" s="31" t="s">
        <v>57</v>
      </c>
      <c r="H194" s="29" t="s">
        <v>30</v>
      </c>
      <c r="I194" s="29">
        <v>0</v>
      </c>
      <c r="J194" s="31" t="s">
        <v>31</v>
      </c>
      <c r="K194" s="31" t="s">
        <v>31</v>
      </c>
      <c r="L194" s="31" t="s">
        <v>31</v>
      </c>
      <c r="M194" s="31" t="s">
        <v>31</v>
      </c>
      <c r="N194" s="31" t="s">
        <v>31</v>
      </c>
      <c r="O194" s="31"/>
      <c r="P194" s="29"/>
    </row>
    <row r="195" spans="1:16" ht="15.75">
      <c r="A195" t="str">
        <f>B61</f>
        <v>treatment of aluminium, tail, airframe, conventional, Medium-Term</v>
      </c>
      <c r="B195" s="42">
        <v>19.66918678</v>
      </c>
      <c r="D195" s="31" t="s">
        <v>37</v>
      </c>
      <c r="E195" s="29" t="s">
        <v>2</v>
      </c>
      <c r="F195" s="29" t="s">
        <v>527</v>
      </c>
      <c r="G195" s="31" t="s">
        <v>57</v>
      </c>
      <c r="H195" s="29" t="s">
        <v>33</v>
      </c>
      <c r="I195" s="29">
        <v>0</v>
      </c>
      <c r="J195" s="31" t="s">
        <v>31</v>
      </c>
      <c r="K195" s="31" t="s">
        <v>31</v>
      </c>
      <c r="L195" s="31" t="s">
        <v>31</v>
      </c>
      <c r="M195" s="31" t="s">
        <v>31</v>
      </c>
      <c r="N195" s="31" t="s">
        <v>31</v>
      </c>
    </row>
    <row r="196" spans="1:16" ht="15.75">
      <c r="A196" t="str">
        <f>B76</f>
        <v>treatment of composites, tail, airframe, conventional, Medium-Term</v>
      </c>
      <c r="B196" s="42">
        <v>326.05808059999998</v>
      </c>
      <c r="D196" s="31" t="s">
        <v>37</v>
      </c>
      <c r="E196" s="29" t="s">
        <v>2</v>
      </c>
      <c r="F196" s="29" t="s">
        <v>527</v>
      </c>
      <c r="G196" s="31" t="s">
        <v>57</v>
      </c>
      <c r="H196" s="29" t="s">
        <v>33</v>
      </c>
      <c r="I196" s="29">
        <v>0</v>
      </c>
      <c r="J196" s="31" t="s">
        <v>31</v>
      </c>
      <c r="K196" s="31" t="s">
        <v>31</v>
      </c>
      <c r="L196" s="31" t="s">
        <v>31</v>
      </c>
      <c r="M196" s="31" t="s">
        <v>31</v>
      </c>
      <c r="N196" s="31" t="s">
        <v>31</v>
      </c>
      <c r="O196" s="31" t="s">
        <v>583</v>
      </c>
    </row>
    <row r="197" spans="1:16" ht="15.75">
      <c r="A197" t="str">
        <f>B76</f>
        <v>treatment of composites, tail, airframe, conventional, Medium-Term</v>
      </c>
      <c r="B197" s="42">
        <v>112.6727326</v>
      </c>
      <c r="D197" s="31" t="s">
        <v>37</v>
      </c>
      <c r="E197" s="29" t="s">
        <v>2</v>
      </c>
      <c r="F197" s="29" t="s">
        <v>527</v>
      </c>
      <c r="G197" s="31" t="s">
        <v>57</v>
      </c>
      <c r="H197" s="29" t="s">
        <v>33</v>
      </c>
      <c r="I197" s="29">
        <v>0</v>
      </c>
      <c r="J197" s="31" t="s">
        <v>31</v>
      </c>
      <c r="K197" s="31" t="s">
        <v>31</v>
      </c>
      <c r="L197" s="31" t="s">
        <v>31</v>
      </c>
      <c r="M197" s="31" t="s">
        <v>31</v>
      </c>
      <c r="N197" s="31" t="s">
        <v>31</v>
      </c>
      <c r="O197" s="31" t="s">
        <v>584</v>
      </c>
    </row>
    <row r="198" spans="1:16" s="41" customFormat="1" ht="15.75">
      <c r="A198" s="38" t="s">
        <v>5</v>
      </c>
      <c r="B198" s="38" t="s">
        <v>585</v>
      </c>
      <c r="C198" s="38"/>
      <c r="D198" s="39"/>
      <c r="E198" s="40"/>
      <c r="F198" s="40"/>
      <c r="G198" s="40"/>
      <c r="H198" s="40"/>
      <c r="I198" s="40"/>
      <c r="J198" s="40"/>
      <c r="K198" s="40"/>
      <c r="L198" s="40"/>
      <c r="M198" s="40"/>
      <c r="N198" s="40"/>
      <c r="O198" s="40"/>
      <c r="P198" s="40"/>
    </row>
    <row r="199" spans="1:16">
      <c r="A199" s="29" t="s">
        <v>7</v>
      </c>
      <c r="B199" s="29" t="s">
        <v>485</v>
      </c>
      <c r="C199" s="29"/>
      <c r="D199" s="29"/>
      <c r="E199" s="29"/>
      <c r="F199" s="29"/>
      <c r="G199" s="29"/>
      <c r="H199" s="29"/>
      <c r="I199" s="29"/>
      <c r="J199" s="29"/>
      <c r="K199" s="29"/>
      <c r="L199" s="29"/>
      <c r="M199" s="29"/>
      <c r="N199" s="29"/>
      <c r="O199" s="29"/>
      <c r="P199" s="29"/>
    </row>
    <row r="200" spans="1:16">
      <c r="A200" s="29" t="s">
        <v>9</v>
      </c>
      <c r="B200" s="30" t="s">
        <v>586</v>
      </c>
      <c r="C200" s="29"/>
      <c r="D200" s="29"/>
      <c r="E200" s="29"/>
      <c r="F200" s="29"/>
      <c r="G200" s="29"/>
      <c r="H200" s="29"/>
      <c r="I200" s="29"/>
      <c r="J200" s="29"/>
      <c r="K200" s="29"/>
      <c r="L200" s="29"/>
      <c r="M200" s="29"/>
      <c r="N200" s="29"/>
      <c r="O200" s="29"/>
      <c r="P200" s="29"/>
    </row>
    <row r="201" spans="1:16">
      <c r="A201" s="29" t="s">
        <v>11</v>
      </c>
      <c r="B201" s="29" t="s">
        <v>580</v>
      </c>
      <c r="C201" s="29"/>
      <c r="D201" s="29"/>
      <c r="E201" s="29"/>
      <c r="F201" s="29"/>
      <c r="G201" s="29"/>
      <c r="H201" s="29"/>
      <c r="I201" s="29"/>
      <c r="J201" s="29"/>
      <c r="K201" s="29"/>
      <c r="L201" s="29"/>
      <c r="M201" s="29"/>
      <c r="N201" s="29"/>
      <c r="O201" s="29"/>
      <c r="P201" s="29"/>
    </row>
    <row r="202" spans="1:16">
      <c r="A202" s="29" t="s">
        <v>13</v>
      </c>
      <c r="B202" s="29" t="s">
        <v>57</v>
      </c>
      <c r="C202" s="29"/>
      <c r="D202" s="29"/>
      <c r="E202" s="29"/>
      <c r="F202" s="29"/>
      <c r="G202" s="29"/>
      <c r="H202" s="29"/>
      <c r="I202" s="29"/>
      <c r="J202" s="29"/>
      <c r="K202" s="29"/>
      <c r="L202" s="29"/>
      <c r="M202" s="29"/>
      <c r="N202" s="29"/>
      <c r="O202" s="29"/>
      <c r="P202" s="29"/>
    </row>
    <row r="203" spans="1:16">
      <c r="A203" s="29" t="s">
        <v>15</v>
      </c>
      <c r="B203" s="29">
        <v>1</v>
      </c>
      <c r="C203" s="29"/>
      <c r="D203" s="29"/>
      <c r="E203" s="29"/>
      <c r="F203" s="29"/>
      <c r="G203" s="29"/>
      <c r="H203" s="29"/>
      <c r="I203" s="29"/>
      <c r="J203" s="29"/>
      <c r="K203" s="29"/>
      <c r="L203" s="29"/>
      <c r="M203" s="29"/>
      <c r="N203" s="29"/>
      <c r="O203" s="29"/>
      <c r="P203" s="29"/>
    </row>
    <row r="204" spans="1:16">
      <c r="A204" s="29" t="s">
        <v>16</v>
      </c>
      <c r="B204" s="29" t="s">
        <v>17</v>
      </c>
      <c r="C204" s="29"/>
      <c r="D204" s="29"/>
      <c r="E204" s="29"/>
      <c r="F204" s="29"/>
      <c r="G204" s="29"/>
      <c r="H204" s="29"/>
      <c r="I204" s="29"/>
      <c r="J204" s="29"/>
      <c r="K204" s="29"/>
      <c r="L204" s="29"/>
      <c r="M204" s="29"/>
      <c r="N204" s="29"/>
      <c r="O204" s="29"/>
      <c r="P204" s="29"/>
    </row>
    <row r="205" spans="1:16" ht="15.75">
      <c r="A205" s="29" t="s">
        <v>18</v>
      </c>
      <c r="B205" s="31" t="s">
        <v>18</v>
      </c>
      <c r="C205" s="29"/>
      <c r="D205" s="29"/>
      <c r="E205" s="29" t="s">
        <v>226</v>
      </c>
      <c r="F205" s="29"/>
      <c r="G205" s="29"/>
      <c r="H205" s="29"/>
      <c r="I205" s="29"/>
      <c r="J205" s="29"/>
      <c r="K205" s="29"/>
      <c r="L205" s="29"/>
      <c r="M205" s="29"/>
      <c r="N205" s="29"/>
      <c r="O205" s="29"/>
      <c r="P205" s="29"/>
    </row>
    <row r="206" spans="1:16" ht="15.75">
      <c r="A206" s="32" t="s">
        <v>19</v>
      </c>
      <c r="B206" s="29"/>
      <c r="C206" s="29"/>
      <c r="D206" s="29"/>
      <c r="E206" s="29"/>
      <c r="F206" s="29"/>
      <c r="G206" s="29"/>
      <c r="H206" s="29"/>
      <c r="I206" s="29"/>
      <c r="J206" s="29"/>
      <c r="K206" s="29"/>
      <c r="L206" s="29"/>
      <c r="M206" s="29"/>
      <c r="N206" s="29"/>
      <c r="O206" s="29"/>
      <c r="P206" s="29"/>
    </row>
    <row r="207" spans="1:16" ht="15.75">
      <c r="A207" s="32" t="s">
        <v>20</v>
      </c>
      <c r="B207" s="32" t="s">
        <v>21</v>
      </c>
      <c r="C207" s="32" t="s">
        <v>209</v>
      </c>
      <c r="D207" s="32" t="s">
        <v>18</v>
      </c>
      <c r="E207" s="32" t="s">
        <v>22</v>
      </c>
      <c r="F207" s="32" t="s">
        <v>7</v>
      </c>
      <c r="G207" s="32" t="s">
        <v>13</v>
      </c>
      <c r="H207" s="32" t="s">
        <v>16</v>
      </c>
      <c r="I207" s="32" t="s">
        <v>23</v>
      </c>
      <c r="J207" s="32" t="s">
        <v>24</v>
      </c>
      <c r="K207" s="32" t="s">
        <v>25</v>
      </c>
      <c r="L207" s="32" t="s">
        <v>26</v>
      </c>
      <c r="M207" s="32" t="s">
        <v>27</v>
      </c>
      <c r="N207" s="32" t="s">
        <v>28</v>
      </c>
      <c r="O207" s="32" t="s">
        <v>11</v>
      </c>
      <c r="P207" s="32" t="s">
        <v>483</v>
      </c>
    </row>
    <row r="208" spans="1:16" ht="15.75">
      <c r="A208" s="31" t="str">
        <f>B198</f>
        <v>treatment fuselage , airframe, conventional, Medium-Term</v>
      </c>
      <c r="B208">
        <v>1</v>
      </c>
      <c r="C208" s="31"/>
      <c r="D208" s="31" t="s">
        <v>18</v>
      </c>
      <c r="E208" s="29" t="s">
        <v>2</v>
      </c>
      <c r="F208" s="29" t="s">
        <v>527</v>
      </c>
      <c r="G208" s="31" t="s">
        <v>57</v>
      </c>
      <c r="H208" s="29" t="s">
        <v>30</v>
      </c>
      <c r="I208" s="29">
        <v>0</v>
      </c>
      <c r="J208" s="31" t="s">
        <v>31</v>
      </c>
      <c r="K208" s="31" t="s">
        <v>31</v>
      </c>
      <c r="L208" s="31" t="s">
        <v>31</v>
      </c>
      <c r="M208" s="31" t="s">
        <v>31</v>
      </c>
      <c r="N208" s="31" t="s">
        <v>31</v>
      </c>
      <c r="O208" s="31"/>
      <c r="P208" s="29"/>
    </row>
    <row r="209" spans="1:16" ht="15.75">
      <c r="A209" t="str">
        <f>B91</f>
        <v>treatment of aluminium, fuselage, airframe, conventional, Medium-Term</v>
      </c>
      <c r="B209" s="42">
        <v>2117.3064850000001</v>
      </c>
      <c r="D209" s="31" t="s">
        <v>37</v>
      </c>
      <c r="E209" s="29" t="s">
        <v>2</v>
      </c>
      <c r="F209" s="29" t="s">
        <v>527</v>
      </c>
      <c r="G209" s="31" t="s">
        <v>57</v>
      </c>
      <c r="H209" s="29" t="s">
        <v>33</v>
      </c>
      <c r="I209" s="29">
        <v>0</v>
      </c>
      <c r="J209" s="31" t="s">
        <v>31</v>
      </c>
      <c r="K209" s="31" t="s">
        <v>31</v>
      </c>
      <c r="L209" s="31" t="s">
        <v>31</v>
      </c>
      <c r="M209" s="31" t="s">
        <v>31</v>
      </c>
      <c r="N209" s="31" t="s">
        <v>31</v>
      </c>
    </row>
    <row r="210" spans="1:16" ht="15.75">
      <c r="A210" t="str">
        <f>B106</f>
        <v>treatment of composites, fuselage, airframe, conventional, Medium-Term</v>
      </c>
      <c r="B210" s="42">
        <v>171.91596730000001</v>
      </c>
      <c r="D210" s="31" t="s">
        <v>37</v>
      </c>
      <c r="E210" s="29" t="s">
        <v>2</v>
      </c>
      <c r="F210" s="29" t="s">
        <v>527</v>
      </c>
      <c r="G210" s="31" t="s">
        <v>57</v>
      </c>
      <c r="H210" s="29" t="s">
        <v>33</v>
      </c>
      <c r="I210" s="29">
        <v>0</v>
      </c>
      <c r="J210" s="31" t="s">
        <v>31</v>
      </c>
      <c r="K210" s="31" t="s">
        <v>31</v>
      </c>
      <c r="L210" s="31" t="s">
        <v>31</v>
      </c>
      <c r="M210" s="31" t="s">
        <v>31</v>
      </c>
      <c r="N210" s="31" t="s">
        <v>31</v>
      </c>
      <c r="O210" s="31" t="s">
        <v>583</v>
      </c>
    </row>
    <row r="211" spans="1:16" ht="15.75">
      <c r="A211" t="str">
        <f>B106</f>
        <v>treatment of composites, fuselage, airframe, conventional, Medium-Term</v>
      </c>
      <c r="B211" s="42">
        <v>11.109811329999999</v>
      </c>
      <c r="D211" s="31" t="s">
        <v>37</v>
      </c>
      <c r="E211" s="29" t="s">
        <v>2</v>
      </c>
      <c r="F211" s="29" t="s">
        <v>527</v>
      </c>
      <c r="G211" s="31" t="s">
        <v>57</v>
      </c>
      <c r="H211" s="29" t="s">
        <v>33</v>
      </c>
      <c r="I211" s="29">
        <v>0</v>
      </c>
      <c r="J211" s="31" t="s">
        <v>31</v>
      </c>
      <c r="K211" s="31" t="s">
        <v>31</v>
      </c>
      <c r="L211" s="31" t="s">
        <v>31</v>
      </c>
      <c r="M211" s="31" t="s">
        <v>31</v>
      </c>
      <c r="N211" s="31" t="s">
        <v>31</v>
      </c>
      <c r="O211" s="31" t="s">
        <v>584</v>
      </c>
    </row>
    <row r="212" spans="1:16" ht="15.75">
      <c r="A212" t="str">
        <f>B121</f>
        <v>treatment of steel, fuselage, airframe, conventional, Medium-Term</v>
      </c>
      <c r="B212" s="42">
        <v>721.63103550000005</v>
      </c>
      <c r="D212" s="31" t="s">
        <v>37</v>
      </c>
      <c r="E212" s="29" t="s">
        <v>2</v>
      </c>
      <c r="F212" s="29" t="s">
        <v>527</v>
      </c>
      <c r="G212" s="31" t="s">
        <v>57</v>
      </c>
      <c r="H212" s="29" t="s">
        <v>33</v>
      </c>
      <c r="I212" s="29">
        <v>0</v>
      </c>
      <c r="J212" s="31" t="s">
        <v>31</v>
      </c>
      <c r="K212" s="31" t="s">
        <v>31</v>
      </c>
      <c r="L212" s="31" t="s">
        <v>31</v>
      </c>
      <c r="M212" s="31" t="s">
        <v>31</v>
      </c>
      <c r="N212" s="31" t="s">
        <v>31</v>
      </c>
    </row>
    <row r="213" spans="1:16" ht="16.5" thickBot="1">
      <c r="A213" t="str">
        <f>B135</f>
        <v>treatment of titanium, fuselage, airframe, conventional, Medium-Term</v>
      </c>
      <c r="B213" s="43">
        <v>149.53670109999999</v>
      </c>
      <c r="D213" s="31" t="s">
        <v>37</v>
      </c>
      <c r="E213" s="29" t="s">
        <v>2</v>
      </c>
      <c r="F213" s="29" t="s">
        <v>527</v>
      </c>
      <c r="G213" s="31" t="s">
        <v>57</v>
      </c>
      <c r="H213" s="29" t="s">
        <v>33</v>
      </c>
      <c r="I213" s="29">
        <v>0</v>
      </c>
      <c r="J213" s="31" t="s">
        <v>31</v>
      </c>
      <c r="K213" s="31" t="s">
        <v>31</v>
      </c>
      <c r="L213" s="31" t="s">
        <v>31</v>
      </c>
      <c r="M213" s="31" t="s">
        <v>31</v>
      </c>
      <c r="N213" s="31" t="s">
        <v>31</v>
      </c>
    </row>
    <row r="214" spans="1:16" s="41" customFormat="1" ht="15.75">
      <c r="A214" s="38" t="s">
        <v>5</v>
      </c>
      <c r="B214" s="38" t="s">
        <v>587</v>
      </c>
      <c r="C214" s="38"/>
      <c r="D214" s="39"/>
      <c r="E214" s="40"/>
      <c r="F214" s="40"/>
      <c r="G214" s="40"/>
      <c r="H214" s="40"/>
      <c r="I214" s="40"/>
      <c r="J214" s="40"/>
      <c r="K214" s="40"/>
      <c r="L214" s="40"/>
      <c r="M214" s="40"/>
      <c r="N214" s="40"/>
      <c r="O214" s="40"/>
      <c r="P214" s="40"/>
    </row>
    <row r="215" spans="1:16">
      <c r="A215" s="29" t="s">
        <v>7</v>
      </c>
      <c r="B215" s="29" t="s">
        <v>485</v>
      </c>
      <c r="C215" s="29"/>
      <c r="D215" s="29"/>
      <c r="E215" s="29"/>
      <c r="F215" s="29"/>
      <c r="G215" s="29"/>
      <c r="H215" s="29"/>
      <c r="I215" s="29"/>
      <c r="J215" s="29"/>
      <c r="K215" s="29"/>
      <c r="L215" s="29"/>
      <c r="M215" s="29"/>
      <c r="N215" s="29"/>
      <c r="O215" s="29"/>
      <c r="P215" s="29"/>
    </row>
    <row r="216" spans="1:16">
      <c r="A216" s="29" t="s">
        <v>9</v>
      </c>
      <c r="B216" s="30" t="s">
        <v>588</v>
      </c>
      <c r="C216" s="29"/>
      <c r="D216" s="29"/>
      <c r="E216" s="29"/>
      <c r="F216" s="29"/>
      <c r="G216" s="29"/>
      <c r="H216" s="29"/>
      <c r="I216" s="29"/>
      <c r="J216" s="29"/>
      <c r="K216" s="29"/>
      <c r="L216" s="29"/>
      <c r="M216" s="29"/>
      <c r="N216" s="29"/>
      <c r="O216" s="29"/>
      <c r="P216" s="29"/>
    </row>
    <row r="217" spans="1:16">
      <c r="A217" s="29" t="s">
        <v>11</v>
      </c>
      <c r="B217" s="29" t="s">
        <v>580</v>
      </c>
      <c r="C217" s="29"/>
      <c r="D217" s="29"/>
      <c r="E217" s="29"/>
      <c r="F217" s="29"/>
      <c r="G217" s="29"/>
      <c r="H217" s="29"/>
      <c r="I217" s="29"/>
      <c r="J217" s="29"/>
      <c r="K217" s="29"/>
      <c r="L217" s="29"/>
      <c r="M217" s="29"/>
      <c r="N217" s="29"/>
      <c r="O217" s="29"/>
      <c r="P217" s="29"/>
    </row>
    <row r="218" spans="1:16">
      <c r="A218" s="29" t="s">
        <v>13</v>
      </c>
      <c r="B218" s="29" t="s">
        <v>57</v>
      </c>
      <c r="C218" s="29"/>
      <c r="D218" s="29"/>
      <c r="E218" s="29"/>
      <c r="F218" s="29"/>
      <c r="G218" s="29"/>
      <c r="H218" s="29"/>
      <c r="I218" s="29"/>
      <c r="J218" s="29"/>
      <c r="K218" s="29"/>
      <c r="L218" s="29"/>
      <c r="M218" s="29"/>
      <c r="N218" s="29"/>
      <c r="O218" s="29"/>
      <c r="P218" s="29"/>
    </row>
    <row r="219" spans="1:16">
      <c r="A219" s="29" t="s">
        <v>15</v>
      </c>
      <c r="B219" s="29">
        <v>1</v>
      </c>
      <c r="C219" s="29"/>
      <c r="D219" s="29"/>
      <c r="E219" s="29"/>
      <c r="F219" s="29"/>
      <c r="G219" s="29"/>
      <c r="H219" s="29"/>
      <c r="I219" s="29"/>
      <c r="J219" s="29"/>
      <c r="K219" s="29"/>
      <c r="L219" s="29"/>
      <c r="M219" s="29"/>
      <c r="N219" s="29"/>
      <c r="O219" s="29"/>
      <c r="P219" s="29"/>
    </row>
    <row r="220" spans="1:16">
      <c r="A220" s="29" t="s">
        <v>16</v>
      </c>
      <c r="B220" s="29" t="s">
        <v>17</v>
      </c>
      <c r="C220" s="29"/>
      <c r="D220" s="29"/>
      <c r="E220" s="29"/>
      <c r="F220" s="29"/>
      <c r="G220" s="29"/>
      <c r="H220" s="29"/>
      <c r="I220" s="29"/>
      <c r="J220" s="29"/>
      <c r="K220" s="29"/>
      <c r="L220" s="29"/>
      <c r="M220" s="29"/>
      <c r="N220" s="29"/>
      <c r="O220" s="29"/>
      <c r="P220" s="29"/>
    </row>
    <row r="221" spans="1:16" ht="15.75">
      <c r="A221" s="29" t="s">
        <v>18</v>
      </c>
      <c r="B221" s="31" t="s">
        <v>18</v>
      </c>
      <c r="C221" s="29"/>
      <c r="D221" s="29"/>
      <c r="E221" s="29" t="s">
        <v>226</v>
      </c>
      <c r="F221" s="29"/>
      <c r="G221" s="29"/>
      <c r="H221" s="29"/>
      <c r="I221" s="29"/>
      <c r="J221" s="29"/>
      <c r="K221" s="29"/>
      <c r="L221" s="29"/>
      <c r="M221" s="29"/>
      <c r="N221" s="29"/>
      <c r="O221" s="29"/>
      <c r="P221" s="29"/>
    </row>
    <row r="222" spans="1:16" ht="15.75">
      <c r="A222" s="32" t="s">
        <v>19</v>
      </c>
      <c r="B222" s="29"/>
      <c r="C222" s="29"/>
      <c r="D222" s="29"/>
      <c r="E222" s="29"/>
      <c r="F222" s="29"/>
      <c r="G222" s="29"/>
      <c r="H222" s="29"/>
      <c r="I222" s="29"/>
      <c r="J222" s="29"/>
      <c r="K222" s="29"/>
      <c r="L222" s="29"/>
      <c r="M222" s="29"/>
      <c r="N222" s="29"/>
      <c r="O222" s="29"/>
      <c r="P222" s="29"/>
    </row>
    <row r="223" spans="1:16" ht="15.75">
      <c r="A223" s="32" t="s">
        <v>20</v>
      </c>
      <c r="B223" s="32" t="s">
        <v>21</v>
      </c>
      <c r="C223" s="32" t="s">
        <v>209</v>
      </c>
      <c r="D223" s="32" t="s">
        <v>18</v>
      </c>
      <c r="E223" s="32" t="s">
        <v>22</v>
      </c>
      <c r="F223" s="32" t="s">
        <v>7</v>
      </c>
      <c r="G223" s="32" t="s">
        <v>13</v>
      </c>
      <c r="H223" s="32" t="s">
        <v>16</v>
      </c>
      <c r="I223" s="32" t="s">
        <v>23</v>
      </c>
      <c r="J223" s="32" t="s">
        <v>24</v>
      </c>
      <c r="K223" s="32" t="s">
        <v>25</v>
      </c>
      <c r="L223" s="32" t="s">
        <v>26</v>
      </c>
      <c r="M223" s="32" t="s">
        <v>27</v>
      </c>
      <c r="N223" s="32" t="s">
        <v>28</v>
      </c>
      <c r="O223" s="32" t="s">
        <v>11</v>
      </c>
      <c r="P223" s="32" t="s">
        <v>483</v>
      </c>
    </row>
    <row r="224" spans="1:16" ht="15.75">
      <c r="A224" s="31" t="str">
        <f>B214</f>
        <v>treatment systems, airframe, conventional, Medium-Term</v>
      </c>
      <c r="B224">
        <v>1</v>
      </c>
      <c r="C224" s="31"/>
      <c r="D224" s="31" t="s">
        <v>18</v>
      </c>
      <c r="E224" s="29" t="s">
        <v>2</v>
      </c>
      <c r="F224" s="29" t="s">
        <v>527</v>
      </c>
      <c r="G224" s="31" t="s">
        <v>57</v>
      </c>
      <c r="H224" s="29" t="s">
        <v>30</v>
      </c>
      <c r="I224" s="29">
        <v>0</v>
      </c>
      <c r="J224" s="31" t="s">
        <v>31</v>
      </c>
      <c r="K224" s="31" t="s">
        <v>31</v>
      </c>
      <c r="L224" s="31" t="s">
        <v>31</v>
      </c>
      <c r="M224" s="31" t="s">
        <v>31</v>
      </c>
      <c r="N224" s="31" t="s">
        <v>31</v>
      </c>
      <c r="O224" s="31"/>
      <c r="P224" s="29"/>
    </row>
    <row r="225" spans="1:16" ht="15.75">
      <c r="A225" t="s">
        <v>551</v>
      </c>
      <c r="B225">
        <v>175.7360000000001</v>
      </c>
      <c r="D225" t="s">
        <v>37</v>
      </c>
      <c r="E225" s="29" t="s">
        <v>2</v>
      </c>
      <c r="F225" s="29" t="s">
        <v>527</v>
      </c>
      <c r="G225" s="31" t="s">
        <v>57</v>
      </c>
      <c r="H225" t="s">
        <v>33</v>
      </c>
      <c r="I225" s="29">
        <v>0</v>
      </c>
      <c r="J225" s="31" t="s">
        <v>31</v>
      </c>
      <c r="K225" s="31" t="s">
        <v>31</v>
      </c>
      <c r="L225" s="31" t="s">
        <v>31</v>
      </c>
      <c r="M225" s="31" t="s">
        <v>31</v>
      </c>
      <c r="N225" s="31" t="s">
        <v>31</v>
      </c>
      <c r="O225" t="s">
        <v>589</v>
      </c>
    </row>
    <row r="226" spans="1:16" ht="15.75">
      <c r="A226" t="s">
        <v>554</v>
      </c>
      <c r="B226">
        <v>7.2140000000000004</v>
      </c>
      <c r="D226" t="s">
        <v>37</v>
      </c>
      <c r="E226" s="29" t="s">
        <v>2</v>
      </c>
      <c r="F226" s="29" t="s">
        <v>527</v>
      </c>
      <c r="G226" s="31" t="s">
        <v>57</v>
      </c>
      <c r="H226" t="s">
        <v>33</v>
      </c>
      <c r="I226" s="29">
        <v>0</v>
      </c>
      <c r="J226" s="31" t="s">
        <v>31</v>
      </c>
      <c r="K226" s="31" t="s">
        <v>31</v>
      </c>
      <c r="L226" s="31" t="s">
        <v>31</v>
      </c>
      <c r="M226" s="31" t="s">
        <v>31</v>
      </c>
      <c r="N226" s="31" t="s">
        <v>31</v>
      </c>
    </row>
    <row r="227" spans="1:16" ht="15.75">
      <c r="A227" s="31" t="s">
        <v>510</v>
      </c>
      <c r="B227" s="31">
        <v>112.366</v>
      </c>
      <c r="C227" s="31"/>
      <c r="D227" t="s">
        <v>37</v>
      </c>
      <c r="E227" s="29" t="s">
        <v>2</v>
      </c>
      <c r="F227" s="29" t="s">
        <v>527</v>
      </c>
      <c r="G227" s="31" t="s">
        <v>57</v>
      </c>
      <c r="H227" t="s">
        <v>33</v>
      </c>
      <c r="I227" s="29">
        <v>0</v>
      </c>
      <c r="J227" s="31" t="s">
        <v>31</v>
      </c>
      <c r="K227" s="31" t="s">
        <v>31</v>
      </c>
      <c r="L227" s="31" t="s">
        <v>31</v>
      </c>
      <c r="M227" s="31" t="s">
        <v>31</v>
      </c>
      <c r="N227" s="31" t="s">
        <v>31</v>
      </c>
      <c r="O227" s="29" t="s">
        <v>590</v>
      </c>
    </row>
    <row r="228" spans="1:16" ht="15.75">
      <c r="A228" t="s">
        <v>591</v>
      </c>
      <c r="B228">
        <v>-1063.5</v>
      </c>
      <c r="D228" t="s">
        <v>37</v>
      </c>
      <c r="E228" s="44" t="s">
        <v>38</v>
      </c>
      <c r="F228" s="29" t="s">
        <v>527</v>
      </c>
      <c r="G228" s="31" t="s">
        <v>130</v>
      </c>
      <c r="H228" t="s">
        <v>33</v>
      </c>
      <c r="I228" s="29">
        <v>0</v>
      </c>
      <c r="J228" s="31" t="s">
        <v>31</v>
      </c>
      <c r="K228" s="31" t="s">
        <v>31</v>
      </c>
      <c r="L228" s="31" t="s">
        <v>31</v>
      </c>
      <c r="M228" s="31" t="s">
        <v>31</v>
      </c>
      <c r="N228" s="31" t="s">
        <v>31</v>
      </c>
    </row>
    <row r="229" spans="1:16" ht="15.75">
      <c r="A229" t="s">
        <v>554</v>
      </c>
      <c r="B229">
        <v>136.02199999999999</v>
      </c>
      <c r="D229" t="s">
        <v>37</v>
      </c>
      <c r="E229" s="29" t="s">
        <v>2</v>
      </c>
      <c r="F229" s="29" t="s">
        <v>527</v>
      </c>
      <c r="G229" s="31" t="s">
        <v>57</v>
      </c>
      <c r="H229" t="s">
        <v>33</v>
      </c>
      <c r="I229" s="29">
        <v>0</v>
      </c>
      <c r="J229" s="31" t="s">
        <v>31</v>
      </c>
      <c r="K229" s="31" t="s">
        <v>31</v>
      </c>
      <c r="L229" s="31" t="s">
        <v>31</v>
      </c>
      <c r="M229" s="31" t="s">
        <v>31</v>
      </c>
      <c r="N229" s="31" t="s">
        <v>31</v>
      </c>
    </row>
    <row r="230" spans="1:16" ht="15.75">
      <c r="A230" t="s">
        <v>557</v>
      </c>
      <c r="B230">
        <v>578.75599999999986</v>
      </c>
      <c r="D230" t="s">
        <v>37</v>
      </c>
      <c r="E230" s="29" t="s">
        <v>2</v>
      </c>
      <c r="F230" s="29" t="s">
        <v>527</v>
      </c>
      <c r="G230" s="31" t="s">
        <v>57</v>
      </c>
      <c r="H230" t="s">
        <v>33</v>
      </c>
      <c r="I230" s="29">
        <v>0</v>
      </c>
      <c r="J230" s="31" t="s">
        <v>31</v>
      </c>
      <c r="K230" s="31" t="s">
        <v>31</v>
      </c>
      <c r="L230" s="31" t="s">
        <v>31</v>
      </c>
      <c r="M230" s="31" t="s">
        <v>31</v>
      </c>
      <c r="N230" s="31" t="s">
        <v>31</v>
      </c>
    </row>
    <row r="231" spans="1:16" ht="15.75">
      <c r="A231" t="s">
        <v>554</v>
      </c>
      <c r="B231">
        <v>36.067999999999984</v>
      </c>
      <c r="D231" t="s">
        <v>37</v>
      </c>
      <c r="E231" s="29" t="s">
        <v>2</v>
      </c>
      <c r="F231" s="29" t="s">
        <v>527</v>
      </c>
      <c r="G231" s="31" t="s">
        <v>57</v>
      </c>
      <c r="H231" t="s">
        <v>33</v>
      </c>
      <c r="I231" s="29">
        <v>0</v>
      </c>
      <c r="J231" s="31" t="s">
        <v>31</v>
      </c>
      <c r="K231" s="31" t="s">
        <v>31</v>
      </c>
      <c r="L231" s="31" t="s">
        <v>31</v>
      </c>
      <c r="M231" s="31" t="s">
        <v>31</v>
      </c>
      <c r="N231" s="31" t="s">
        <v>31</v>
      </c>
    </row>
    <row r="232" spans="1:16" s="28" customFormat="1" ht="15.75">
      <c r="A232" s="25" t="s">
        <v>5</v>
      </c>
      <c r="B232" s="25" t="s">
        <v>592</v>
      </c>
      <c r="C232" s="25"/>
      <c r="D232" s="26"/>
      <c r="E232" s="27"/>
      <c r="F232" s="27"/>
      <c r="G232" s="27"/>
      <c r="H232" s="27"/>
      <c r="I232" s="27"/>
      <c r="J232" s="27"/>
      <c r="K232" s="27"/>
      <c r="L232" s="27"/>
      <c r="M232" s="27"/>
      <c r="N232" s="27"/>
      <c r="O232" s="27"/>
      <c r="P232" s="27"/>
    </row>
    <row r="233" spans="1:16">
      <c r="A233" s="29" t="s">
        <v>7</v>
      </c>
      <c r="B233" s="29" t="s">
        <v>485</v>
      </c>
      <c r="C233" s="29"/>
      <c r="D233" s="29"/>
      <c r="E233" s="29"/>
      <c r="F233" s="29"/>
      <c r="G233" s="29"/>
      <c r="H233" s="29"/>
      <c r="I233" s="29"/>
      <c r="J233" s="29"/>
      <c r="K233" s="29"/>
      <c r="L233" s="29"/>
      <c r="M233" s="29"/>
      <c r="N233" s="29"/>
      <c r="O233" s="29"/>
      <c r="P233" s="29"/>
    </row>
    <row r="234" spans="1:16">
      <c r="A234" s="29" t="s">
        <v>9</v>
      </c>
      <c r="B234" s="30" t="s">
        <v>593</v>
      </c>
      <c r="C234" s="29"/>
      <c r="D234" s="29"/>
      <c r="E234" s="29"/>
      <c r="F234" s="29"/>
      <c r="G234" s="29"/>
      <c r="H234" s="29"/>
      <c r="I234" s="29"/>
      <c r="J234" s="29"/>
      <c r="K234" s="29"/>
      <c r="L234" s="29"/>
      <c r="M234" s="29"/>
      <c r="N234" s="29"/>
      <c r="O234" s="29"/>
      <c r="P234" s="29"/>
    </row>
    <row r="235" spans="1:16">
      <c r="A235" s="29" t="s">
        <v>11</v>
      </c>
      <c r="B235" s="29" t="s">
        <v>580</v>
      </c>
      <c r="C235" s="29"/>
      <c r="D235" s="29"/>
      <c r="E235" s="29"/>
      <c r="F235" s="29"/>
      <c r="G235" s="29"/>
      <c r="H235" s="29"/>
      <c r="I235" s="29"/>
      <c r="J235" s="29"/>
      <c r="K235" s="29"/>
      <c r="L235" s="29"/>
      <c r="M235" s="29"/>
      <c r="N235" s="29"/>
      <c r="O235" s="29"/>
      <c r="P235" s="29"/>
    </row>
    <row r="236" spans="1:16">
      <c r="A236" s="29" t="s">
        <v>13</v>
      </c>
      <c r="B236" s="29" t="s">
        <v>57</v>
      </c>
      <c r="C236" s="29"/>
      <c r="D236" s="29"/>
      <c r="E236" s="29"/>
      <c r="F236" s="29"/>
      <c r="G236" s="29"/>
      <c r="H236" s="29"/>
      <c r="I236" s="29"/>
      <c r="J236" s="29"/>
      <c r="K236" s="29"/>
      <c r="L236" s="29"/>
      <c r="M236" s="29"/>
      <c r="N236" s="29"/>
      <c r="O236" s="29"/>
      <c r="P236" s="29"/>
    </row>
    <row r="237" spans="1:16">
      <c r="A237" s="29" t="s">
        <v>15</v>
      </c>
      <c r="B237" s="29">
        <v>1</v>
      </c>
      <c r="C237" s="29"/>
      <c r="D237" s="29"/>
      <c r="E237" s="29"/>
      <c r="F237" s="29"/>
      <c r="G237" s="29"/>
      <c r="H237" s="29"/>
      <c r="I237" s="29"/>
      <c r="J237" s="29"/>
      <c r="K237" s="29"/>
      <c r="L237" s="29"/>
      <c r="M237" s="29"/>
      <c r="N237" s="29"/>
      <c r="O237" s="29"/>
      <c r="P237" s="29"/>
    </row>
    <row r="238" spans="1:16">
      <c r="A238" s="29" t="s">
        <v>16</v>
      </c>
      <c r="B238" s="29" t="s">
        <v>17</v>
      </c>
      <c r="C238" s="29"/>
      <c r="D238" s="29"/>
      <c r="E238" s="29"/>
      <c r="F238" s="29"/>
      <c r="G238" s="29"/>
      <c r="H238" s="29"/>
      <c r="I238" s="29"/>
      <c r="J238" s="29"/>
      <c r="K238" s="29"/>
      <c r="L238" s="29"/>
      <c r="M238" s="29"/>
      <c r="N238" s="29"/>
      <c r="O238" s="29"/>
      <c r="P238" s="29"/>
    </row>
    <row r="239" spans="1:16" ht="15.75">
      <c r="A239" s="29" t="s">
        <v>18</v>
      </c>
      <c r="B239" s="31" t="s">
        <v>18</v>
      </c>
      <c r="C239" s="29"/>
      <c r="D239" s="29"/>
      <c r="E239" s="29" t="s">
        <v>226</v>
      </c>
      <c r="F239" s="29"/>
      <c r="G239" s="29"/>
      <c r="H239" s="29"/>
      <c r="I239" s="29"/>
      <c r="J239" s="29"/>
      <c r="K239" s="29"/>
      <c r="L239" s="29"/>
      <c r="M239" s="29"/>
      <c r="N239" s="29"/>
      <c r="O239" s="29"/>
      <c r="P239" s="29"/>
    </row>
    <row r="240" spans="1:16" ht="15.75">
      <c r="A240" s="32" t="s">
        <v>19</v>
      </c>
      <c r="B240" s="29"/>
      <c r="C240" s="29"/>
      <c r="D240" s="29"/>
      <c r="E240" s="29"/>
      <c r="F240" s="29"/>
      <c r="G240" s="29"/>
      <c r="H240" s="29"/>
      <c r="I240" s="29"/>
      <c r="J240" s="29"/>
      <c r="K240" s="29"/>
      <c r="L240" s="29"/>
      <c r="M240" s="29"/>
      <c r="N240" s="29"/>
      <c r="O240" s="29"/>
      <c r="P240" s="29"/>
    </row>
    <row r="241" spans="1:16" ht="15.75">
      <c r="A241" s="32" t="s">
        <v>20</v>
      </c>
      <c r="B241" s="32" t="s">
        <v>21</v>
      </c>
      <c r="C241" s="32" t="s">
        <v>209</v>
      </c>
      <c r="D241" s="32" t="s">
        <v>18</v>
      </c>
      <c r="E241" s="32" t="s">
        <v>22</v>
      </c>
      <c r="F241" s="32" t="s">
        <v>7</v>
      </c>
      <c r="G241" s="32" t="s">
        <v>13</v>
      </c>
      <c r="H241" s="32" t="s">
        <v>16</v>
      </c>
      <c r="I241" s="32" t="s">
        <v>23</v>
      </c>
      <c r="J241" s="32" t="s">
        <v>24</v>
      </c>
      <c r="K241" s="32" t="s">
        <v>25</v>
      </c>
      <c r="L241" s="32" t="s">
        <v>26</v>
      </c>
      <c r="M241" s="32" t="s">
        <v>27</v>
      </c>
      <c r="N241" s="32" t="s">
        <v>28</v>
      </c>
      <c r="O241" s="32" t="s">
        <v>11</v>
      </c>
      <c r="P241" s="32" t="s">
        <v>483</v>
      </c>
    </row>
    <row r="242" spans="1:16" ht="15.75">
      <c r="A242" s="31" t="str">
        <f>B232</f>
        <v>treatment of airframe , conventional, Medium-Term</v>
      </c>
      <c r="B242">
        <v>1</v>
      </c>
      <c r="C242" s="31"/>
      <c r="D242" s="31" t="s">
        <v>18</v>
      </c>
      <c r="E242" s="29" t="s">
        <v>2</v>
      </c>
      <c r="F242" s="29" t="s">
        <v>527</v>
      </c>
      <c r="G242" s="31" t="s">
        <v>57</v>
      </c>
      <c r="H242" s="29" t="s">
        <v>30</v>
      </c>
      <c r="I242" s="29">
        <v>0</v>
      </c>
      <c r="J242" s="31" t="s">
        <v>31</v>
      </c>
      <c r="K242" s="31" t="s">
        <v>31</v>
      </c>
      <c r="L242" s="31" t="s">
        <v>31</v>
      </c>
      <c r="M242" s="31" t="s">
        <v>31</v>
      </c>
      <c r="N242" s="31" t="s">
        <v>31</v>
      </c>
      <c r="O242" s="31"/>
      <c r="P242" s="29"/>
    </row>
    <row r="243" spans="1:16">
      <c r="A243" t="str">
        <f>A208</f>
        <v>treatment fuselage , airframe, conventional, Medium-Term</v>
      </c>
      <c r="B243">
        <f t="shared" ref="B243:N243" si="1">B208</f>
        <v>1</v>
      </c>
      <c r="D243" t="str">
        <f t="shared" si="1"/>
        <v>unit</v>
      </c>
      <c r="E243" t="str">
        <f t="shared" si="1"/>
        <v>GENESIS_2040_conventional_PkBudg500</v>
      </c>
      <c r="F243" s="29" t="s">
        <v>527</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Medium-Term</v>
      </c>
      <c r="B244">
        <f t="shared" ref="B244:N244" si="2">B194</f>
        <v>1</v>
      </c>
      <c r="D244" t="str">
        <f t="shared" si="2"/>
        <v>unit</v>
      </c>
      <c r="E244" t="str">
        <f t="shared" si="2"/>
        <v>GENESIS_2040_conventional_PkBudg500</v>
      </c>
      <c r="F244" s="29" t="s">
        <v>527</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Medium-Term</v>
      </c>
      <c r="B245">
        <f t="shared" ref="B245:N245" si="3">B179</f>
        <v>1</v>
      </c>
      <c r="D245" t="str">
        <f t="shared" si="3"/>
        <v>unit</v>
      </c>
      <c r="E245" t="str">
        <f t="shared" si="3"/>
        <v>GENESIS_2040_conventional_PkBudg500</v>
      </c>
      <c r="F245" s="29" t="s">
        <v>527</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Medium-Term</v>
      </c>
      <c r="B246">
        <f t="shared" ref="B246:N246" si="4">B159</f>
        <v>1</v>
      </c>
      <c r="D246" t="str">
        <f t="shared" si="4"/>
        <v>kilogram</v>
      </c>
      <c r="E246" t="str">
        <f t="shared" si="4"/>
        <v>GENESIS_2040_conventional_PkBudg500</v>
      </c>
      <c r="F246" s="29" t="s">
        <v>527</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Medium-Term</v>
      </c>
      <c r="B247">
        <f>B224</f>
        <v>1</v>
      </c>
      <c r="D247" t="str">
        <f>D224</f>
        <v>unit</v>
      </c>
      <c r="E247" t="str">
        <f>E224</f>
        <v>GENESIS_2040_conventional_PkBudg500</v>
      </c>
      <c r="F247" t="str">
        <f>F224</f>
        <v>airframe EoL, conventional, Medium-Term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D4E7-657E-4BE4-977F-6BD743E87EBB}">
  <dimension ref="A1:Q48"/>
  <sheetViews>
    <sheetView topLeftCell="A4"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5.7109375" style="45" customWidth="1"/>
    <col min="16" max="16384" width="8.85546875" style="45"/>
  </cols>
  <sheetData>
    <row r="1" spans="1:17" s="48" customFormat="1" ht="12.75">
      <c r="A1" s="48" t="s">
        <v>0</v>
      </c>
      <c r="B1" s="48">
        <v>13</v>
      </c>
      <c r="C1" s="49"/>
    </row>
    <row r="2" spans="1:17" ht="15.75">
      <c r="A2" s="50" t="s">
        <v>5</v>
      </c>
      <c r="B2" s="50" t="s">
        <v>34</v>
      </c>
      <c r="C2" s="51"/>
      <c r="D2" s="52"/>
      <c r="E2" s="52"/>
      <c r="F2" s="52"/>
      <c r="G2" s="52"/>
      <c r="H2" s="52"/>
      <c r="I2" s="52"/>
      <c r="J2" s="52"/>
      <c r="K2" s="52"/>
      <c r="L2" s="52"/>
      <c r="M2" s="52"/>
      <c r="N2" s="52"/>
    </row>
    <row r="3" spans="1:17" s="48" customFormat="1" ht="12.75">
      <c r="A3" s="48" t="s">
        <v>7</v>
      </c>
      <c r="B3" s="48" t="s">
        <v>61</v>
      </c>
      <c r="O3" s="151" t="s">
        <v>62</v>
      </c>
      <c r="P3" s="152"/>
      <c r="Q3" s="153"/>
    </row>
    <row r="4" spans="1:17" s="48" customFormat="1" ht="12.75">
      <c r="A4" s="48" t="s">
        <v>9</v>
      </c>
      <c r="B4" s="48" t="s">
        <v>63</v>
      </c>
      <c r="O4" s="53" t="s">
        <v>64</v>
      </c>
      <c r="P4" s="54" t="s">
        <v>65</v>
      </c>
      <c r="Q4" s="55" t="s">
        <v>66</v>
      </c>
    </row>
    <row r="5" spans="1:17" s="48" customFormat="1" ht="12.75">
      <c r="A5" s="48" t="s">
        <v>11</v>
      </c>
      <c r="B5" s="48" t="s">
        <v>67</v>
      </c>
      <c r="O5" s="56" t="s">
        <v>34</v>
      </c>
      <c r="P5" s="57">
        <v>1</v>
      </c>
      <c r="Q5" s="58">
        <f>P5/P5</f>
        <v>1</v>
      </c>
    </row>
    <row r="6" spans="1:17" s="48" customFormat="1" ht="12.75">
      <c r="A6" s="48" t="s">
        <v>13</v>
      </c>
      <c r="B6" s="48" t="s">
        <v>35</v>
      </c>
      <c r="O6" s="56" t="s">
        <v>68</v>
      </c>
      <c r="P6" s="57">
        <v>100</v>
      </c>
      <c r="Q6" s="58">
        <f>P5/P6</f>
        <v>0.01</v>
      </c>
    </row>
    <row r="7" spans="1:17" s="48" customFormat="1" ht="12.75">
      <c r="A7" s="48" t="s">
        <v>15</v>
      </c>
      <c r="B7" s="37">
        <v>1</v>
      </c>
      <c r="O7" s="59" t="s">
        <v>69</v>
      </c>
      <c r="P7" s="60">
        <v>100</v>
      </c>
      <c r="Q7" s="61">
        <f>P5/P7</f>
        <v>0.01</v>
      </c>
    </row>
    <row r="8" spans="1:17" s="48" customFormat="1" ht="12.75">
      <c r="A8" s="48" t="s">
        <v>16</v>
      </c>
      <c r="B8" s="48" t="s">
        <v>17</v>
      </c>
    </row>
    <row r="9" spans="1:17" s="48" customFormat="1" ht="12.75">
      <c r="A9" s="48" t="s">
        <v>18</v>
      </c>
      <c r="B9" s="48" t="s">
        <v>18</v>
      </c>
    </row>
    <row r="10" spans="1:17" ht="15.75">
      <c r="A10" s="47" t="s">
        <v>19</v>
      </c>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s="48" customFormat="1" ht="12.75">
      <c r="A12" s="48" t="s">
        <v>34</v>
      </c>
      <c r="B12" s="48">
        <f>B7</f>
        <v>1</v>
      </c>
      <c r="C12" s="48" t="str">
        <f>B9</f>
        <v>unit</v>
      </c>
      <c r="D12" s="48" t="s">
        <v>2</v>
      </c>
      <c r="E12" s="48" t="s">
        <v>29</v>
      </c>
      <c r="F12" s="48" t="str">
        <f>B6</f>
        <v>RER</v>
      </c>
      <c r="G12" s="48" t="s">
        <v>30</v>
      </c>
      <c r="H12" s="48">
        <v>0</v>
      </c>
      <c r="I12" s="48">
        <f>B12</f>
        <v>1</v>
      </c>
      <c r="J12" s="48" t="s">
        <v>31</v>
      </c>
      <c r="K12" s="48" t="s">
        <v>31</v>
      </c>
      <c r="L12" s="48" t="s">
        <v>31</v>
      </c>
      <c r="M12" s="48" t="s">
        <v>31</v>
      </c>
    </row>
    <row r="13" spans="1:17" s="48" customFormat="1" ht="12.75">
      <c r="A13" s="37" t="s">
        <v>68</v>
      </c>
      <c r="B13" s="62">
        <f>1*Q6</f>
        <v>0.01</v>
      </c>
      <c r="C13" s="48" t="s">
        <v>18</v>
      </c>
      <c r="D13" s="48" t="s">
        <v>2</v>
      </c>
      <c r="E13" s="48" t="s">
        <v>29</v>
      </c>
      <c r="F13" s="48" t="s">
        <v>71</v>
      </c>
      <c r="G13" s="48" t="s">
        <v>33</v>
      </c>
      <c r="H13" s="48">
        <v>0</v>
      </c>
      <c r="I13" s="48">
        <f t="shared" ref="I13" si="0">B13</f>
        <v>0.01</v>
      </c>
      <c r="J13" s="48" t="s">
        <v>31</v>
      </c>
      <c r="K13" s="48" t="s">
        <v>31</v>
      </c>
      <c r="L13" s="48" t="s">
        <v>31</v>
      </c>
      <c r="M13" s="48" t="s">
        <v>31</v>
      </c>
      <c r="N13" s="48" t="s">
        <v>72</v>
      </c>
    </row>
    <row r="14" spans="1:17" s="48" customFormat="1" ht="12.75">
      <c r="A14" s="37" t="s">
        <v>73</v>
      </c>
      <c r="B14" s="63">
        <f>(0)*0.846</f>
        <v>0</v>
      </c>
      <c r="C14" s="48" t="s">
        <v>37</v>
      </c>
      <c r="D14" s="48" t="s">
        <v>38</v>
      </c>
      <c r="E14" s="48" t="s">
        <v>29</v>
      </c>
      <c r="F14" s="48" t="s">
        <v>57</v>
      </c>
      <c r="G14" s="48" t="s">
        <v>33</v>
      </c>
      <c r="H14" s="48">
        <v>0</v>
      </c>
      <c r="I14" s="48">
        <v>0</v>
      </c>
      <c r="J14" s="48">
        <v>1.0523125754508578</v>
      </c>
      <c r="K14" s="48" t="s">
        <v>31</v>
      </c>
      <c r="L14" s="48" t="s">
        <v>31</v>
      </c>
      <c r="M14" s="48" t="s">
        <v>31</v>
      </c>
      <c r="N14" s="48" t="s">
        <v>74</v>
      </c>
    </row>
    <row r="15" spans="1:17" s="48" customFormat="1" ht="12.75">
      <c r="A15" s="37" t="s">
        <v>75</v>
      </c>
      <c r="B15" s="63">
        <v>1170.7317073170732</v>
      </c>
      <c r="C15" s="48" t="s">
        <v>37</v>
      </c>
      <c r="D15" s="48" t="s">
        <v>38</v>
      </c>
      <c r="E15" s="48" t="s">
        <v>29</v>
      </c>
      <c r="F15" s="48" t="s">
        <v>57</v>
      </c>
      <c r="G15" s="48" t="s">
        <v>33</v>
      </c>
      <c r="H15" s="48">
        <v>2</v>
      </c>
      <c r="I15" s="48">
        <f>LN(B15)</f>
        <v>7.0653842231857205</v>
      </c>
      <c r="J15" s="48">
        <v>1.0268106203456886</v>
      </c>
      <c r="K15" s="48" t="s">
        <v>31</v>
      </c>
      <c r="L15" s="48" t="s">
        <v>31</v>
      </c>
      <c r="M15" s="48" t="s">
        <v>31</v>
      </c>
      <c r="N15" s="48" t="s">
        <v>76</v>
      </c>
    </row>
    <row r="16" spans="1:17" s="48" customFormat="1" ht="12.75">
      <c r="A16" s="37" t="s">
        <v>77</v>
      </c>
      <c r="B16" s="63">
        <f>3495301+(1200+14125+610+3600)</f>
        <v>3514836</v>
      </c>
      <c r="C16" s="48" t="s">
        <v>78</v>
      </c>
      <c r="D16" s="48" t="s">
        <v>38</v>
      </c>
      <c r="E16" s="48" t="s">
        <v>29</v>
      </c>
      <c r="F16" s="48" t="s">
        <v>14</v>
      </c>
      <c r="G16" s="48" t="s">
        <v>33</v>
      </c>
      <c r="H16" s="48">
        <v>2</v>
      </c>
      <c r="I16" s="48">
        <f>LN(B16)</f>
        <v>15.072503424954922</v>
      </c>
      <c r="J16" s="48">
        <v>1.0523125754508578</v>
      </c>
      <c r="K16" s="48" t="s">
        <v>31</v>
      </c>
      <c r="L16" s="48" t="s">
        <v>31</v>
      </c>
      <c r="M16" s="48" t="s">
        <v>31</v>
      </c>
      <c r="N16" s="48" t="s">
        <v>79</v>
      </c>
    </row>
    <row r="17" spans="1:14" s="48" customFormat="1" ht="12.75">
      <c r="A17" s="37" t="s">
        <v>80</v>
      </c>
      <c r="B17" s="63">
        <v>315000</v>
      </c>
      <c r="C17" s="48" t="s">
        <v>48</v>
      </c>
      <c r="D17" s="48" t="s">
        <v>38</v>
      </c>
      <c r="E17" s="48" t="s">
        <v>29</v>
      </c>
      <c r="F17" s="48" t="s">
        <v>14</v>
      </c>
      <c r="G17" s="48" t="s">
        <v>33</v>
      </c>
      <c r="H17" s="48">
        <v>2</v>
      </c>
      <c r="I17" s="48">
        <f>LN(B17)</f>
        <v>12.66032791780777</v>
      </c>
      <c r="J17" s="48">
        <v>1.0523125754508578</v>
      </c>
      <c r="K17" s="48" t="s">
        <v>31</v>
      </c>
      <c r="L17" s="48" t="s">
        <v>31</v>
      </c>
      <c r="M17" s="48" t="s">
        <v>31</v>
      </c>
      <c r="N17" s="48" t="s">
        <v>81</v>
      </c>
    </row>
    <row r="18" spans="1:14" s="48" customFormat="1" ht="12.75">
      <c r="A18" s="37" t="s">
        <v>82</v>
      </c>
      <c r="B18" s="63">
        <v>31369447</v>
      </c>
      <c r="C18" s="48" t="s">
        <v>37</v>
      </c>
      <c r="D18" s="48" t="s">
        <v>38</v>
      </c>
      <c r="E18" s="48" t="s">
        <v>29</v>
      </c>
      <c r="F18" s="48" t="s">
        <v>35</v>
      </c>
      <c r="G18" s="48" t="s">
        <v>33</v>
      </c>
      <c r="H18" s="48">
        <v>2</v>
      </c>
      <c r="I18" s="48">
        <f>LN(B18)</f>
        <v>17.261344951704181</v>
      </c>
      <c r="J18" s="48">
        <v>1.0268106203456886</v>
      </c>
      <c r="K18" s="48" t="s">
        <v>31</v>
      </c>
      <c r="L18" s="48" t="s">
        <v>31</v>
      </c>
      <c r="M18" s="48" t="s">
        <v>31</v>
      </c>
      <c r="N18" s="48" t="s">
        <v>83</v>
      </c>
    </row>
    <row r="19" spans="1:14" s="48" customFormat="1" ht="12.75">
      <c r="A19" s="37" t="s">
        <v>84</v>
      </c>
      <c r="B19" s="63">
        <f>0.437*2216688</f>
        <v>968692.65599999996</v>
      </c>
      <c r="C19" s="48" t="s">
        <v>37</v>
      </c>
      <c r="D19" s="48" t="s">
        <v>2</v>
      </c>
      <c r="E19" s="48" t="s">
        <v>29</v>
      </c>
      <c r="F19" s="48" t="s">
        <v>35</v>
      </c>
      <c r="G19" s="48" t="s">
        <v>33</v>
      </c>
      <c r="H19" s="48">
        <v>2</v>
      </c>
      <c r="I19" s="48">
        <f t="shared" ref="I19:I20" si="1">LN(B19)</f>
        <v>13.783702664091219</v>
      </c>
      <c r="J19" s="48">
        <v>1.223608598770918</v>
      </c>
      <c r="K19" s="48" t="s">
        <v>31</v>
      </c>
      <c r="L19" s="48" t="s">
        <v>31</v>
      </c>
      <c r="M19" s="48" t="s">
        <v>31</v>
      </c>
      <c r="N19" s="48" t="s">
        <v>85</v>
      </c>
    </row>
    <row r="20" spans="1:14" s="48" customFormat="1" ht="12.75">
      <c r="A20" s="37" t="s">
        <v>86</v>
      </c>
      <c r="B20" s="63">
        <f>0.35*1104428</f>
        <v>386549.8</v>
      </c>
      <c r="C20" s="48" t="s">
        <v>37</v>
      </c>
      <c r="D20" s="48" t="s">
        <v>2</v>
      </c>
      <c r="E20" s="48" t="s">
        <v>29</v>
      </c>
      <c r="F20" s="48" t="s">
        <v>35</v>
      </c>
      <c r="G20" s="48" t="s">
        <v>33</v>
      </c>
      <c r="H20" s="48">
        <v>2</v>
      </c>
      <c r="I20" s="48">
        <f t="shared" si="1"/>
        <v>12.865015987350997</v>
      </c>
      <c r="J20" s="48">
        <v>1.223608598770918</v>
      </c>
      <c r="K20" s="48" t="s">
        <v>31</v>
      </c>
      <c r="L20" s="48" t="s">
        <v>31</v>
      </c>
      <c r="M20" s="48" t="s">
        <v>31</v>
      </c>
      <c r="N20" s="48" t="s">
        <v>87</v>
      </c>
    </row>
    <row r="21" spans="1:14" s="48" customFormat="1" ht="12.75">
      <c r="A21" s="37" t="s">
        <v>88</v>
      </c>
      <c r="B21" s="62">
        <f>1*Q7</f>
        <v>0.01</v>
      </c>
      <c r="C21" s="48" t="s">
        <v>18</v>
      </c>
      <c r="D21" s="48" t="s">
        <v>2</v>
      </c>
      <c r="E21" s="48" t="s">
        <v>29</v>
      </c>
      <c r="F21" s="48" t="s">
        <v>35</v>
      </c>
      <c r="G21" s="48" t="s">
        <v>33</v>
      </c>
      <c r="H21" s="48">
        <v>0</v>
      </c>
      <c r="I21" s="48">
        <f t="shared" ref="I21" si="2">B21</f>
        <v>0.01</v>
      </c>
      <c r="J21" s="48" t="s">
        <v>31</v>
      </c>
      <c r="K21" s="48" t="s">
        <v>31</v>
      </c>
      <c r="L21" s="48" t="s">
        <v>31</v>
      </c>
      <c r="M21" s="48" t="s">
        <v>31</v>
      </c>
      <c r="N21" s="48" t="s">
        <v>89</v>
      </c>
    </row>
    <row r="22" spans="1:14" ht="15.75">
      <c r="A22" s="50" t="s">
        <v>5</v>
      </c>
      <c r="B22" s="50" t="s">
        <v>84</v>
      </c>
      <c r="C22" s="51"/>
      <c r="D22" s="52"/>
      <c r="E22" s="52"/>
      <c r="F22" s="52"/>
      <c r="G22" s="52"/>
      <c r="H22" s="52"/>
      <c r="I22" s="52"/>
      <c r="J22" s="52"/>
      <c r="K22" s="52"/>
      <c r="L22" s="52"/>
      <c r="M22" s="52"/>
      <c r="N22" s="52"/>
    </row>
    <row r="23" spans="1:14" s="48" customFormat="1" ht="12.75">
      <c r="A23" s="48" t="s">
        <v>7</v>
      </c>
      <c r="B23" s="48" t="s">
        <v>61</v>
      </c>
    </row>
    <row r="24" spans="1:14" s="48" customFormat="1" ht="12.75">
      <c r="A24" s="48" t="s">
        <v>9</v>
      </c>
      <c r="B24" s="48" t="s">
        <v>90</v>
      </c>
    </row>
    <row r="25" spans="1:14" s="48" customFormat="1" ht="12.75">
      <c r="A25" s="48" t="s">
        <v>11</v>
      </c>
      <c r="B25" s="48" t="s">
        <v>91</v>
      </c>
    </row>
    <row r="26" spans="1:14" s="48" customFormat="1" ht="12.75">
      <c r="A26" s="48" t="s">
        <v>13</v>
      </c>
      <c r="B26" s="48" t="s">
        <v>35</v>
      </c>
    </row>
    <row r="27" spans="1:14" s="48" customFormat="1" ht="12.75">
      <c r="A27" s="48" t="s">
        <v>15</v>
      </c>
      <c r="B27" s="37">
        <v>1</v>
      </c>
    </row>
    <row r="28" spans="1:14" s="48" customFormat="1" ht="12.75">
      <c r="A28" s="48" t="s">
        <v>16</v>
      </c>
      <c r="B28" s="48" t="s">
        <v>17</v>
      </c>
    </row>
    <row r="29" spans="1:14" s="48" customFormat="1" ht="12.75">
      <c r="A29" s="48" t="s">
        <v>18</v>
      </c>
      <c r="B29" s="48" t="s">
        <v>37</v>
      </c>
    </row>
    <row r="30" spans="1:14" ht="15.75">
      <c r="A30" s="47" t="s">
        <v>19</v>
      </c>
    </row>
    <row r="31" spans="1:14" ht="15.75">
      <c r="A31" s="47" t="s">
        <v>20</v>
      </c>
      <c r="B31" s="47" t="s">
        <v>21</v>
      </c>
      <c r="C31" s="47" t="s">
        <v>18</v>
      </c>
      <c r="D31" s="47" t="s">
        <v>22</v>
      </c>
      <c r="E31" s="47" t="s">
        <v>7</v>
      </c>
      <c r="F31" s="47" t="s">
        <v>13</v>
      </c>
      <c r="G31" s="47" t="s">
        <v>16</v>
      </c>
      <c r="H31" s="47" t="s">
        <v>23</v>
      </c>
      <c r="I31" s="47" t="s">
        <v>24</v>
      </c>
      <c r="J31" s="47" t="s">
        <v>25</v>
      </c>
      <c r="K31" s="47" t="s">
        <v>26</v>
      </c>
      <c r="L31" s="47" t="s">
        <v>27</v>
      </c>
      <c r="M31" s="47" t="s">
        <v>28</v>
      </c>
      <c r="N31" s="47" t="s">
        <v>70</v>
      </c>
    </row>
    <row r="32" spans="1:14" s="48" customFormat="1" ht="12.75">
      <c r="A32" s="48" t="s">
        <v>84</v>
      </c>
      <c r="B32" s="48">
        <f>B27</f>
        <v>1</v>
      </c>
      <c r="C32" s="48" t="str">
        <f>B29</f>
        <v>kilogram</v>
      </c>
      <c r="D32" s="48" t="s">
        <v>2</v>
      </c>
      <c r="E32" s="48" t="s">
        <v>29</v>
      </c>
      <c r="F32" s="48" t="str">
        <f>B26</f>
        <v>RER</v>
      </c>
      <c r="G32" s="48" t="s">
        <v>30</v>
      </c>
      <c r="H32" s="48">
        <v>0</v>
      </c>
      <c r="I32" s="48">
        <f>B32</f>
        <v>1</v>
      </c>
      <c r="J32" s="48" t="s">
        <v>31</v>
      </c>
      <c r="K32" s="48" t="s">
        <v>31</v>
      </c>
      <c r="L32" s="48" t="s">
        <v>31</v>
      </c>
      <c r="M32" s="48" t="s">
        <v>31</v>
      </c>
    </row>
    <row r="33" spans="1:14" s="48" customFormat="1" ht="12.75">
      <c r="A33" s="48" t="s">
        <v>92</v>
      </c>
      <c r="B33" s="63">
        <v>-1</v>
      </c>
      <c r="C33" s="48" t="s">
        <v>37</v>
      </c>
      <c r="D33" s="48" t="s">
        <v>38</v>
      </c>
      <c r="E33" s="48" t="s">
        <v>29</v>
      </c>
      <c r="F33" s="48" t="s">
        <v>35</v>
      </c>
      <c r="G33" s="48" t="s">
        <v>33</v>
      </c>
      <c r="H33" s="48">
        <v>0</v>
      </c>
      <c r="I33" s="63">
        <f>B33</f>
        <v>-1</v>
      </c>
      <c r="J33" s="48" t="s">
        <v>31</v>
      </c>
      <c r="K33" s="48" t="s">
        <v>31</v>
      </c>
      <c r="L33" s="48" t="s">
        <v>31</v>
      </c>
      <c r="M33" s="48" t="s">
        <v>31</v>
      </c>
      <c r="N33" s="48" t="s">
        <v>93</v>
      </c>
    </row>
    <row r="34" spans="1:14" ht="15.75">
      <c r="A34" s="50" t="s">
        <v>5</v>
      </c>
      <c r="B34" s="50" t="s">
        <v>86</v>
      </c>
      <c r="C34" s="51"/>
      <c r="D34" s="52"/>
      <c r="E34" s="52"/>
      <c r="F34" s="52"/>
      <c r="G34" s="52"/>
      <c r="H34" s="52"/>
      <c r="I34" s="52"/>
      <c r="J34" s="52"/>
      <c r="K34" s="52"/>
      <c r="L34" s="52"/>
      <c r="M34" s="52"/>
      <c r="N34" s="52"/>
    </row>
    <row r="35" spans="1:14" s="48" customFormat="1" ht="12.75">
      <c r="A35" s="48" t="s">
        <v>7</v>
      </c>
      <c r="B35" s="48" t="s">
        <v>61</v>
      </c>
    </row>
    <row r="36" spans="1:14" s="48" customFormat="1" ht="12.75">
      <c r="A36" s="48" t="s">
        <v>9</v>
      </c>
      <c r="B36" s="48" t="s">
        <v>94</v>
      </c>
    </row>
    <row r="37" spans="1:14" s="48" customFormat="1" ht="12.75">
      <c r="A37" s="48" t="s">
        <v>11</v>
      </c>
      <c r="B37" s="48" t="s">
        <v>95</v>
      </c>
    </row>
    <row r="38" spans="1:14" s="48" customFormat="1" ht="12.75">
      <c r="A38" s="48" t="s">
        <v>13</v>
      </c>
      <c r="B38" s="48" t="s">
        <v>35</v>
      </c>
    </row>
    <row r="39" spans="1:14" s="48" customFormat="1" ht="12.75">
      <c r="A39" s="48" t="s">
        <v>15</v>
      </c>
      <c r="B39" s="37">
        <v>1</v>
      </c>
    </row>
    <row r="40" spans="1:14" s="48" customFormat="1" ht="12.75">
      <c r="A40" s="48" t="s">
        <v>16</v>
      </c>
      <c r="B40" s="48" t="s">
        <v>17</v>
      </c>
    </row>
    <row r="41" spans="1:14" s="48" customFormat="1" ht="12.75">
      <c r="A41" s="48" t="s">
        <v>18</v>
      </c>
      <c r="B41" s="48" t="s">
        <v>37</v>
      </c>
    </row>
    <row r="42" spans="1:14" ht="15.75">
      <c r="A42" s="47" t="s">
        <v>19</v>
      </c>
    </row>
    <row r="43" spans="1:14" ht="15.75">
      <c r="A43" s="47" t="s">
        <v>20</v>
      </c>
      <c r="B43" s="47" t="s">
        <v>21</v>
      </c>
      <c r="C43" s="47" t="s">
        <v>18</v>
      </c>
      <c r="D43" s="47" t="s">
        <v>22</v>
      </c>
      <c r="E43" s="47" t="s">
        <v>7</v>
      </c>
      <c r="F43" s="47" t="s">
        <v>13</v>
      </c>
      <c r="G43" s="47" t="s">
        <v>16</v>
      </c>
      <c r="H43" s="47" t="s">
        <v>23</v>
      </c>
      <c r="I43" s="47" t="s">
        <v>24</v>
      </c>
      <c r="J43" s="47" t="s">
        <v>25</v>
      </c>
      <c r="K43" s="47" t="s">
        <v>26</v>
      </c>
      <c r="L43" s="47" t="s">
        <v>27</v>
      </c>
      <c r="M43" s="47" t="s">
        <v>28</v>
      </c>
      <c r="N43" s="47" t="s">
        <v>70</v>
      </c>
    </row>
    <row r="44" spans="1:14" s="48" customFormat="1" ht="12.75">
      <c r="A44" s="48" t="s">
        <v>86</v>
      </c>
      <c r="B44" s="48">
        <f>B39</f>
        <v>1</v>
      </c>
      <c r="C44" s="48" t="str">
        <f>B41</f>
        <v>kilogram</v>
      </c>
      <c r="D44" s="48" t="s">
        <v>2</v>
      </c>
      <c r="E44" s="48" t="s">
        <v>29</v>
      </c>
      <c r="F44" s="48" t="str">
        <f>B38</f>
        <v>RER</v>
      </c>
      <c r="G44" s="48" t="s">
        <v>30</v>
      </c>
      <c r="H44" s="48">
        <v>0</v>
      </c>
      <c r="I44" s="48">
        <f>B44</f>
        <v>1</v>
      </c>
      <c r="J44" s="48" t="s">
        <v>31</v>
      </c>
      <c r="K44" s="48" t="s">
        <v>31</v>
      </c>
      <c r="L44" s="48" t="s">
        <v>31</v>
      </c>
      <c r="M44" s="48" t="s">
        <v>31</v>
      </c>
    </row>
    <row r="45" spans="1:14" s="48" customFormat="1" ht="12.75">
      <c r="A45" s="48" t="s">
        <v>92</v>
      </c>
      <c r="B45" s="63">
        <v>-1</v>
      </c>
      <c r="C45" s="48" t="s">
        <v>37</v>
      </c>
      <c r="D45" s="48" t="s">
        <v>38</v>
      </c>
      <c r="E45" s="48" t="s">
        <v>29</v>
      </c>
      <c r="F45" s="48" t="s">
        <v>35</v>
      </c>
      <c r="G45" s="48" t="s">
        <v>33</v>
      </c>
      <c r="H45" s="48">
        <v>0</v>
      </c>
      <c r="I45" s="48">
        <f t="shared" ref="I45" si="3">B45</f>
        <v>-1</v>
      </c>
      <c r="J45" s="48" t="s">
        <v>31</v>
      </c>
      <c r="K45" s="48" t="s">
        <v>31</v>
      </c>
      <c r="L45" s="48" t="s">
        <v>31</v>
      </c>
      <c r="M45" s="48" t="s">
        <v>31</v>
      </c>
      <c r="N45" s="48" t="s">
        <v>96</v>
      </c>
    </row>
    <row r="46" spans="1:14">
      <c r="A46" s="52"/>
      <c r="B46" s="52"/>
      <c r="C46" s="52"/>
      <c r="D46" s="52"/>
      <c r="E46" s="52"/>
      <c r="F46" s="52"/>
      <c r="G46" s="52"/>
      <c r="H46" s="52"/>
      <c r="I46" s="52"/>
      <c r="J46" s="52"/>
      <c r="K46" s="52"/>
      <c r="L46" s="52"/>
      <c r="M46" s="52"/>
      <c r="N46" s="52"/>
    </row>
    <row r="47" spans="1:14">
      <c r="A47" s="37"/>
    </row>
    <row r="48" spans="1:14">
      <c r="A48" s="37"/>
    </row>
  </sheetData>
  <mergeCells count="1">
    <mergeCell ref="O3:Q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47AD-A525-4943-9162-04FB62756686}">
  <dimension ref="A1:P201"/>
  <sheetViews>
    <sheetView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7.42578125" style="45" customWidth="1"/>
    <col min="16" max="16384" width="8.85546875" style="45"/>
  </cols>
  <sheetData>
    <row r="1" spans="1:16">
      <c r="A1" s="45" t="s">
        <v>0</v>
      </c>
      <c r="B1" s="45">
        <v>13</v>
      </c>
      <c r="C1" s="46"/>
    </row>
    <row r="2" spans="1:16" ht="15.75">
      <c r="A2" s="50" t="s">
        <v>5</v>
      </c>
      <c r="B2" s="50" t="s">
        <v>68</v>
      </c>
      <c r="C2" s="51"/>
      <c r="D2" s="52"/>
      <c r="E2" s="52"/>
      <c r="F2" s="52"/>
      <c r="G2" s="52"/>
      <c r="H2" s="52"/>
      <c r="I2" s="52"/>
      <c r="J2" s="52"/>
      <c r="K2" s="52"/>
      <c r="L2" s="52"/>
      <c r="M2" s="52"/>
      <c r="N2" s="52"/>
    </row>
    <row r="3" spans="1:16" s="48" customFormat="1" ht="12.75">
      <c r="A3" s="48" t="s">
        <v>7</v>
      </c>
      <c r="B3" s="48" t="s">
        <v>61</v>
      </c>
      <c r="O3" s="151" t="s">
        <v>62</v>
      </c>
      <c r="P3" s="153"/>
    </row>
    <row r="4" spans="1:16" s="48" customFormat="1" ht="12.75">
      <c r="A4" s="48" t="s">
        <v>9</v>
      </c>
      <c r="B4" s="48" t="s">
        <v>97</v>
      </c>
      <c r="O4" s="53" t="s">
        <v>64</v>
      </c>
      <c r="P4" s="55" t="s">
        <v>65</v>
      </c>
    </row>
    <row r="5" spans="1:16" s="48" customFormat="1" ht="12.75">
      <c r="A5" s="48" t="s">
        <v>11</v>
      </c>
      <c r="B5" s="48" t="s">
        <v>98</v>
      </c>
      <c r="O5" s="56" t="s">
        <v>99</v>
      </c>
      <c r="P5" s="64">
        <v>100</v>
      </c>
    </row>
    <row r="6" spans="1:16" s="48" customFormat="1" ht="12.75">
      <c r="A6" s="48" t="s">
        <v>13</v>
      </c>
      <c r="B6" s="48" t="s">
        <v>71</v>
      </c>
      <c r="O6" s="59" t="s">
        <v>100</v>
      </c>
      <c r="P6" s="65">
        <v>33.33</v>
      </c>
    </row>
    <row r="7" spans="1:16" s="48" customFormat="1" ht="12.75">
      <c r="A7" s="48" t="s">
        <v>15</v>
      </c>
      <c r="B7" s="37">
        <v>1</v>
      </c>
      <c r="O7" s="66" t="s">
        <v>66</v>
      </c>
      <c r="P7" s="65">
        <f>P5/P6</f>
        <v>3.0003000300030003</v>
      </c>
    </row>
    <row r="8" spans="1:16" s="48" customFormat="1" ht="12.75">
      <c r="A8" s="48" t="s">
        <v>16</v>
      </c>
      <c r="B8" s="48" t="s">
        <v>17</v>
      </c>
    </row>
    <row r="9" spans="1:16" s="48" customFormat="1" ht="12.75">
      <c r="A9" s="48" t="s">
        <v>18</v>
      </c>
      <c r="B9" s="48" t="s">
        <v>18</v>
      </c>
    </row>
    <row r="10" spans="1:16" ht="15.75">
      <c r="A10" s="47" t="s">
        <v>19</v>
      </c>
    </row>
    <row r="11" spans="1:16"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6" s="48" customFormat="1" ht="12.75">
      <c r="A12" s="48" t="s">
        <v>68</v>
      </c>
      <c r="B12" s="48">
        <f>B7</f>
        <v>1</v>
      </c>
      <c r="C12" s="48" t="str">
        <f>B9</f>
        <v>unit</v>
      </c>
      <c r="D12" s="48" t="s">
        <v>2</v>
      </c>
      <c r="E12" s="48" t="s">
        <v>29</v>
      </c>
      <c r="F12" s="48" t="str">
        <f>B6</f>
        <v>NL</v>
      </c>
      <c r="G12" s="48" t="s">
        <v>30</v>
      </c>
      <c r="H12" s="48">
        <v>0</v>
      </c>
      <c r="I12" s="48">
        <f>B12</f>
        <v>1</v>
      </c>
    </row>
    <row r="13" spans="1:16" s="48" customFormat="1" ht="12.75">
      <c r="A13" s="37" t="s">
        <v>101</v>
      </c>
      <c r="B13" s="63">
        <v>1</v>
      </c>
      <c r="C13" s="48" t="s">
        <v>18</v>
      </c>
      <c r="D13" s="48" t="s">
        <v>2</v>
      </c>
      <c r="E13" s="48" t="s">
        <v>29</v>
      </c>
      <c r="F13" s="48" t="s">
        <v>35</v>
      </c>
      <c r="G13" s="48" t="s">
        <v>33</v>
      </c>
      <c r="H13" s="48">
        <v>0</v>
      </c>
      <c r="I13" s="48">
        <f t="shared" ref="I13:I14" si="0">B13</f>
        <v>1</v>
      </c>
      <c r="J13" s="48" t="s">
        <v>31</v>
      </c>
      <c r="K13" s="48" t="s">
        <v>31</v>
      </c>
      <c r="L13" s="48" t="s">
        <v>31</v>
      </c>
      <c r="M13" s="48" t="s">
        <v>31</v>
      </c>
      <c r="N13" s="48" t="s">
        <v>102</v>
      </c>
    </row>
    <row r="14" spans="1:16" s="48" customFormat="1" ht="12.75">
      <c r="A14" s="37" t="s">
        <v>103</v>
      </c>
      <c r="B14" s="63">
        <v>1</v>
      </c>
      <c r="C14" s="48" t="s">
        <v>18</v>
      </c>
      <c r="D14" s="48" t="s">
        <v>2</v>
      </c>
      <c r="E14" s="48" t="s">
        <v>29</v>
      </c>
      <c r="F14" s="48" t="s">
        <v>35</v>
      </c>
      <c r="G14" s="48" t="s">
        <v>33</v>
      </c>
      <c r="H14" s="48">
        <v>0</v>
      </c>
      <c r="I14" s="48">
        <f t="shared" si="0"/>
        <v>1</v>
      </c>
      <c r="J14" s="48" t="s">
        <v>31</v>
      </c>
      <c r="K14" s="48" t="s">
        <v>31</v>
      </c>
      <c r="L14" s="48" t="s">
        <v>31</v>
      </c>
      <c r="M14" s="48" t="s">
        <v>31</v>
      </c>
      <c r="N14" s="48" t="s">
        <v>104</v>
      </c>
    </row>
    <row r="15" spans="1:16" ht="15.75">
      <c r="A15" s="50" t="s">
        <v>5</v>
      </c>
      <c r="B15" s="50" t="s">
        <v>101</v>
      </c>
      <c r="C15" s="51"/>
      <c r="D15" s="52"/>
      <c r="E15" s="52"/>
      <c r="F15" s="52"/>
      <c r="G15" s="52"/>
      <c r="H15" s="52"/>
      <c r="I15" s="52"/>
      <c r="J15" s="52"/>
      <c r="K15" s="52"/>
      <c r="L15" s="52"/>
      <c r="M15" s="52"/>
      <c r="N15" s="52"/>
    </row>
    <row r="16" spans="1:16" s="48" customFormat="1" ht="12.75">
      <c r="A16" s="48" t="s">
        <v>7</v>
      </c>
      <c r="B16" s="48" t="s">
        <v>61</v>
      </c>
    </row>
    <row r="17" spans="1:14" s="48" customFormat="1" ht="12.75">
      <c r="A17" s="48" t="s">
        <v>9</v>
      </c>
      <c r="B17" s="48" t="s">
        <v>105</v>
      </c>
    </row>
    <row r="18" spans="1:14" s="48" customFormat="1" ht="12.75">
      <c r="A18" s="48" t="s">
        <v>11</v>
      </c>
      <c r="B18" s="48" t="s">
        <v>106</v>
      </c>
    </row>
    <row r="19" spans="1:14" s="48" customFormat="1" ht="12.75">
      <c r="A19" s="48" t="s">
        <v>13</v>
      </c>
      <c r="B19" s="48" t="s">
        <v>35</v>
      </c>
    </row>
    <row r="20" spans="1:14" s="48" customFormat="1" ht="12.75">
      <c r="A20" s="48" t="s">
        <v>15</v>
      </c>
      <c r="B20" s="37">
        <v>1</v>
      </c>
    </row>
    <row r="21" spans="1:14" s="48" customFormat="1" ht="12.75">
      <c r="A21" s="48" t="s">
        <v>16</v>
      </c>
      <c r="B21" s="48" t="s">
        <v>17</v>
      </c>
    </row>
    <row r="22" spans="1:14" s="48" customFormat="1" ht="12.75">
      <c r="A22" s="48" t="s">
        <v>18</v>
      </c>
      <c r="B22" s="48" t="s">
        <v>18</v>
      </c>
    </row>
    <row r="23" spans="1:14" ht="15.75">
      <c r="A23" s="47" t="s">
        <v>19</v>
      </c>
    </row>
    <row r="24" spans="1:14" ht="15.75">
      <c r="A24" s="47" t="s">
        <v>20</v>
      </c>
      <c r="B24" s="47" t="s">
        <v>21</v>
      </c>
      <c r="C24" s="47" t="s">
        <v>18</v>
      </c>
      <c r="D24" s="47" t="s">
        <v>22</v>
      </c>
      <c r="E24" s="47" t="s">
        <v>7</v>
      </c>
      <c r="F24" s="47" t="s">
        <v>13</v>
      </c>
      <c r="G24" s="47" t="s">
        <v>16</v>
      </c>
      <c r="H24" s="47" t="s">
        <v>23</v>
      </c>
      <c r="I24" s="47" t="s">
        <v>24</v>
      </c>
      <c r="J24" s="47" t="s">
        <v>25</v>
      </c>
      <c r="K24" s="47" t="s">
        <v>26</v>
      </c>
      <c r="L24" s="47" t="s">
        <v>27</v>
      </c>
      <c r="M24" s="47" t="s">
        <v>28</v>
      </c>
      <c r="N24" s="47" t="s">
        <v>70</v>
      </c>
    </row>
    <row r="25" spans="1:14" s="48" customFormat="1" ht="12.75">
      <c r="A25" s="48" t="s">
        <v>101</v>
      </c>
      <c r="B25" s="48">
        <f>B20</f>
        <v>1</v>
      </c>
      <c r="C25" s="48" t="str">
        <f>B22</f>
        <v>unit</v>
      </c>
      <c r="D25" s="48" t="s">
        <v>2</v>
      </c>
      <c r="E25" s="48" t="s">
        <v>29</v>
      </c>
      <c r="F25" s="48" t="str">
        <f>B19</f>
        <v>RER</v>
      </c>
      <c r="G25" s="48" t="s">
        <v>30</v>
      </c>
      <c r="H25" s="48">
        <v>0</v>
      </c>
      <c r="I25" s="48">
        <f>B25</f>
        <v>1</v>
      </c>
      <c r="J25" s="48" t="s">
        <v>31</v>
      </c>
      <c r="K25" s="48" t="s">
        <v>31</v>
      </c>
      <c r="L25" s="48" t="s">
        <v>31</v>
      </c>
      <c r="M25" s="48" t="s">
        <v>31</v>
      </c>
    </row>
    <row r="26" spans="1:14" s="48" customFormat="1" ht="12.75">
      <c r="A26" s="37" t="s">
        <v>107</v>
      </c>
      <c r="B26" s="63">
        <v>1</v>
      </c>
      <c r="C26" s="48" t="s">
        <v>18</v>
      </c>
      <c r="D26" s="48" t="s">
        <v>2</v>
      </c>
      <c r="E26" s="48" t="s">
        <v>29</v>
      </c>
      <c r="F26" s="48" t="s">
        <v>35</v>
      </c>
      <c r="G26" s="48" t="s">
        <v>33</v>
      </c>
      <c r="H26" s="48">
        <v>0</v>
      </c>
      <c r="I26" s="48">
        <f>B26</f>
        <v>1</v>
      </c>
      <c r="J26" s="48" t="s">
        <v>31</v>
      </c>
      <c r="K26" s="48" t="s">
        <v>31</v>
      </c>
      <c r="L26" s="48" t="s">
        <v>31</v>
      </c>
      <c r="M26" s="48" t="s">
        <v>31</v>
      </c>
      <c r="N26" s="48" t="s">
        <v>108</v>
      </c>
    </row>
    <row r="27" spans="1:14" s="48" customFormat="1" ht="12.75">
      <c r="A27" s="37" t="s">
        <v>109</v>
      </c>
      <c r="B27" s="63">
        <v>1</v>
      </c>
      <c r="C27" s="48" t="s">
        <v>18</v>
      </c>
      <c r="D27" s="48" t="s">
        <v>2</v>
      </c>
      <c r="E27" s="48" t="s">
        <v>29</v>
      </c>
      <c r="F27" s="48" t="s">
        <v>35</v>
      </c>
      <c r="G27" s="48" t="s">
        <v>33</v>
      </c>
      <c r="H27" s="48">
        <v>0</v>
      </c>
      <c r="I27" s="48">
        <f>B27</f>
        <v>1</v>
      </c>
      <c r="J27" s="48" t="s">
        <v>31</v>
      </c>
      <c r="K27" s="48" t="s">
        <v>31</v>
      </c>
      <c r="L27" s="48" t="s">
        <v>31</v>
      </c>
      <c r="M27" s="48" t="s">
        <v>31</v>
      </c>
      <c r="N27" s="48" t="s">
        <v>110</v>
      </c>
    </row>
    <row r="28" spans="1:14" s="48" customFormat="1" ht="12.75">
      <c r="A28" s="37" t="s">
        <v>111</v>
      </c>
      <c r="B28" s="63">
        <v>1</v>
      </c>
      <c r="C28" s="48" t="s">
        <v>18</v>
      </c>
      <c r="D28" s="48" t="s">
        <v>2</v>
      </c>
      <c r="E28" s="48" t="s">
        <v>29</v>
      </c>
      <c r="F28" s="48" t="s">
        <v>35</v>
      </c>
      <c r="G28" s="48" t="s">
        <v>33</v>
      </c>
      <c r="H28" s="48">
        <v>0</v>
      </c>
      <c r="I28" s="48">
        <f>B28</f>
        <v>1</v>
      </c>
      <c r="J28" s="48" t="s">
        <v>31</v>
      </c>
      <c r="K28" s="48" t="s">
        <v>31</v>
      </c>
      <c r="L28" s="48" t="s">
        <v>31</v>
      </c>
      <c r="M28" s="48" t="s">
        <v>31</v>
      </c>
      <c r="N28" s="48" t="s">
        <v>104</v>
      </c>
    </row>
    <row r="29" spans="1:14" ht="15.75">
      <c r="A29" s="50" t="s">
        <v>5</v>
      </c>
      <c r="B29" s="50" t="s">
        <v>107</v>
      </c>
      <c r="C29" s="51"/>
      <c r="D29" s="52"/>
      <c r="E29" s="52"/>
      <c r="F29" s="52"/>
      <c r="G29" s="52"/>
      <c r="H29" s="52"/>
      <c r="I29" s="52"/>
      <c r="J29" s="52"/>
      <c r="K29" s="52"/>
      <c r="L29" s="52"/>
      <c r="M29" s="52"/>
      <c r="N29" s="52"/>
    </row>
    <row r="30" spans="1:14" s="48" customFormat="1" ht="12.75">
      <c r="A30" s="48" t="s">
        <v>7</v>
      </c>
      <c r="B30" s="48" t="s">
        <v>61</v>
      </c>
    </row>
    <row r="31" spans="1:14" s="48" customFormat="1" ht="12.75">
      <c r="A31" s="48" t="s">
        <v>9</v>
      </c>
      <c r="B31" s="48" t="s">
        <v>112</v>
      </c>
    </row>
    <row r="32" spans="1:14" s="48" customFormat="1" ht="12.75">
      <c r="A32" s="48" t="s">
        <v>11</v>
      </c>
      <c r="B32" s="48" t="s">
        <v>113</v>
      </c>
    </row>
    <row r="33" spans="1:14" s="48" customFormat="1" ht="12.75">
      <c r="A33" s="48" t="s">
        <v>13</v>
      </c>
      <c r="B33" s="48" t="s">
        <v>35</v>
      </c>
    </row>
    <row r="34" spans="1:14" s="48" customFormat="1" ht="12.75">
      <c r="A34" s="48" t="s">
        <v>15</v>
      </c>
      <c r="B34" s="37">
        <v>1</v>
      </c>
    </row>
    <row r="35" spans="1:14" s="48" customFormat="1" ht="12.75">
      <c r="A35" s="48" t="s">
        <v>16</v>
      </c>
      <c r="B35" s="48" t="s">
        <v>17</v>
      </c>
    </row>
    <row r="36" spans="1:14" s="48" customFormat="1" ht="12.75">
      <c r="A36" s="48" t="s">
        <v>18</v>
      </c>
      <c r="B36" s="48" t="s">
        <v>18</v>
      </c>
    </row>
    <row r="37" spans="1:14" ht="15.75">
      <c r="A37" s="47" t="s">
        <v>19</v>
      </c>
    </row>
    <row r="38" spans="1:14"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4" s="48" customFormat="1" ht="12.75">
      <c r="A39" s="48" t="s">
        <v>107</v>
      </c>
      <c r="B39" s="48">
        <f>B34</f>
        <v>1</v>
      </c>
      <c r="C39" s="48" t="str">
        <f>B36</f>
        <v>unit</v>
      </c>
      <c r="D39" s="48" t="s">
        <v>2</v>
      </c>
      <c r="E39" s="48" t="s">
        <v>29</v>
      </c>
      <c r="F39" s="48" t="str">
        <f>B33</f>
        <v>RER</v>
      </c>
      <c r="G39" s="48" t="s">
        <v>30</v>
      </c>
      <c r="H39" s="48">
        <v>0</v>
      </c>
      <c r="I39" s="48">
        <f>B39</f>
        <v>1</v>
      </c>
      <c r="J39" s="48" t="s">
        <v>31</v>
      </c>
      <c r="K39" s="48" t="s">
        <v>31</v>
      </c>
      <c r="L39" s="48" t="s">
        <v>31</v>
      </c>
      <c r="M39" s="48" t="s">
        <v>31</v>
      </c>
    </row>
    <row r="40" spans="1:14" s="48" customFormat="1" ht="12.75">
      <c r="A40" s="48" t="s">
        <v>114</v>
      </c>
      <c r="B40" s="48">
        <v>49625</v>
      </c>
      <c r="C40" s="48" t="s">
        <v>115</v>
      </c>
      <c r="D40" s="48" t="s">
        <v>41</v>
      </c>
      <c r="E40" s="48" t="s">
        <v>116</v>
      </c>
      <c r="F40" s="48" t="s">
        <v>29</v>
      </c>
      <c r="G40" s="48" t="s">
        <v>43</v>
      </c>
      <c r="H40" s="48">
        <v>0</v>
      </c>
      <c r="I40" s="48">
        <f>B40</f>
        <v>49625</v>
      </c>
      <c r="J40" s="48" t="s">
        <v>31</v>
      </c>
      <c r="K40" s="48" t="s">
        <v>31</v>
      </c>
      <c r="L40" s="48" t="s">
        <v>31</v>
      </c>
      <c r="M40" s="48" t="s">
        <v>31</v>
      </c>
      <c r="N40" s="48" t="s">
        <v>117</v>
      </c>
    </row>
    <row r="41" spans="1:14" s="48" customFormat="1" ht="12.75">
      <c r="A41" s="48" t="s">
        <v>118</v>
      </c>
      <c r="B41" s="48">
        <f>100*B40</f>
        <v>4962500</v>
      </c>
      <c r="C41" s="48" t="s">
        <v>119</v>
      </c>
      <c r="D41" s="48" t="s">
        <v>41</v>
      </c>
      <c r="E41" s="48" t="s">
        <v>116</v>
      </c>
      <c r="F41" s="48" t="s">
        <v>29</v>
      </c>
      <c r="G41" s="48" t="s">
        <v>43</v>
      </c>
      <c r="H41" s="48">
        <v>0</v>
      </c>
      <c r="I41" s="48">
        <f>B41</f>
        <v>4962500</v>
      </c>
      <c r="J41" s="48" t="s">
        <v>31</v>
      </c>
      <c r="K41" s="48" t="s">
        <v>31</v>
      </c>
      <c r="L41" s="48" t="s">
        <v>31</v>
      </c>
      <c r="M41" s="48" t="s">
        <v>31</v>
      </c>
      <c r="N41" s="48" t="s">
        <v>120</v>
      </c>
    </row>
    <row r="42" spans="1:14" s="48" customFormat="1" ht="12.75">
      <c r="A42" s="37" t="s">
        <v>121</v>
      </c>
      <c r="B42" s="63">
        <f>B40*0.7</f>
        <v>34737.5</v>
      </c>
      <c r="C42" s="48" t="s">
        <v>115</v>
      </c>
      <c r="D42" s="48" t="s">
        <v>38</v>
      </c>
      <c r="E42" s="48" t="s">
        <v>29</v>
      </c>
      <c r="F42" s="48" t="s">
        <v>57</v>
      </c>
      <c r="G42" s="48" t="s">
        <v>33</v>
      </c>
      <c r="H42" s="48">
        <v>0</v>
      </c>
      <c r="I42" s="48">
        <f t="shared" ref="I42:I43" si="1">B42</f>
        <v>34737.5</v>
      </c>
      <c r="J42" s="48" t="s">
        <v>31</v>
      </c>
      <c r="K42" s="48" t="s">
        <v>31</v>
      </c>
      <c r="L42" s="48" t="s">
        <v>31</v>
      </c>
      <c r="M42" s="48" t="s">
        <v>31</v>
      </c>
      <c r="N42" s="48" t="s">
        <v>122</v>
      </c>
    </row>
    <row r="43" spans="1:14" s="48" customFormat="1" ht="12.75">
      <c r="A43" s="67" t="s">
        <v>123</v>
      </c>
      <c r="B43" s="63">
        <f>B40*0.3*5*2.5*P7</f>
        <v>558337.0837083708</v>
      </c>
      <c r="C43" s="48" t="s">
        <v>48</v>
      </c>
      <c r="D43" s="48" t="s">
        <v>38</v>
      </c>
      <c r="E43" s="48" t="s">
        <v>29</v>
      </c>
      <c r="F43" s="48" t="s">
        <v>57</v>
      </c>
      <c r="G43" s="48" t="s">
        <v>33</v>
      </c>
      <c r="H43" s="48">
        <v>0</v>
      </c>
      <c r="I43" s="48">
        <f t="shared" si="1"/>
        <v>558337.0837083708</v>
      </c>
      <c r="J43" s="48" t="s">
        <v>31</v>
      </c>
      <c r="K43" s="48" t="s">
        <v>31</v>
      </c>
      <c r="L43" s="48" t="s">
        <v>31</v>
      </c>
      <c r="M43" s="48" t="s">
        <v>31</v>
      </c>
      <c r="N43" s="48" t="s">
        <v>124</v>
      </c>
    </row>
    <row r="44" spans="1:14" ht="15.75">
      <c r="A44" s="50" t="s">
        <v>5</v>
      </c>
      <c r="B44" s="50" t="s">
        <v>109</v>
      </c>
      <c r="C44" s="51"/>
      <c r="D44" s="52"/>
      <c r="E44" s="52"/>
      <c r="F44" s="52"/>
      <c r="G44" s="52"/>
      <c r="H44" s="52"/>
      <c r="I44" s="52"/>
      <c r="J44" s="52"/>
      <c r="K44" s="52"/>
      <c r="L44" s="52"/>
      <c r="M44" s="52"/>
      <c r="N44" s="52"/>
    </row>
    <row r="45" spans="1:14" s="48" customFormat="1" ht="12.75">
      <c r="A45" s="48" t="s">
        <v>7</v>
      </c>
      <c r="B45" s="48" t="s">
        <v>61</v>
      </c>
    </row>
    <row r="46" spans="1:14" s="48" customFormat="1" ht="12.75">
      <c r="A46" s="48" t="s">
        <v>9</v>
      </c>
      <c r="B46" s="48" t="s">
        <v>125</v>
      </c>
    </row>
    <row r="47" spans="1:14" s="48" customFormat="1" ht="12.75">
      <c r="A47" s="48" t="s">
        <v>11</v>
      </c>
      <c r="B47" s="48" t="s">
        <v>126</v>
      </c>
    </row>
    <row r="48" spans="1:14" s="48" customFormat="1" ht="12.75">
      <c r="A48" s="48" t="s">
        <v>13</v>
      </c>
      <c r="B48" s="48" t="s">
        <v>35</v>
      </c>
    </row>
    <row r="49" spans="1:14" s="48" customFormat="1" ht="12.75">
      <c r="A49" s="48" t="s">
        <v>15</v>
      </c>
      <c r="B49" s="37">
        <v>1</v>
      </c>
    </row>
    <row r="50" spans="1:14" s="48" customFormat="1" ht="12.75">
      <c r="A50" s="48" t="s">
        <v>16</v>
      </c>
      <c r="B50" s="48" t="s">
        <v>17</v>
      </c>
    </row>
    <row r="51" spans="1:14" s="48" customFormat="1" ht="12.75">
      <c r="A51" s="48" t="s">
        <v>18</v>
      </c>
      <c r="B51" s="48" t="s">
        <v>18</v>
      </c>
    </row>
    <row r="52" spans="1:14" ht="15.75">
      <c r="A52" s="47" t="s">
        <v>19</v>
      </c>
    </row>
    <row r="53" spans="1:14" ht="15.75">
      <c r="A53" s="47" t="s">
        <v>20</v>
      </c>
      <c r="B53" s="47" t="s">
        <v>21</v>
      </c>
      <c r="C53" s="47" t="s">
        <v>18</v>
      </c>
      <c r="D53" s="47" t="s">
        <v>22</v>
      </c>
      <c r="E53" s="47" t="s">
        <v>7</v>
      </c>
      <c r="F53" s="47" t="s">
        <v>13</v>
      </c>
      <c r="G53" s="47" t="s">
        <v>16</v>
      </c>
      <c r="H53" s="47" t="s">
        <v>23</v>
      </c>
      <c r="I53" s="47" t="s">
        <v>24</v>
      </c>
      <c r="J53" s="47" t="s">
        <v>25</v>
      </c>
      <c r="K53" s="47" t="s">
        <v>26</v>
      </c>
      <c r="L53" s="47" t="s">
        <v>27</v>
      </c>
      <c r="M53" s="47" t="s">
        <v>28</v>
      </c>
      <c r="N53" s="47" t="s">
        <v>70</v>
      </c>
    </row>
    <row r="54" spans="1:14" s="48" customFormat="1" ht="12.75">
      <c r="A54" s="48" t="s">
        <v>109</v>
      </c>
      <c r="B54" s="48">
        <f>B49</f>
        <v>1</v>
      </c>
      <c r="C54" s="48" t="str">
        <f>B51</f>
        <v>unit</v>
      </c>
      <c r="D54" s="48" t="s">
        <v>2</v>
      </c>
      <c r="E54" s="48" t="s">
        <v>29</v>
      </c>
      <c r="F54" s="48" t="str">
        <f>B48</f>
        <v>RER</v>
      </c>
      <c r="G54" s="48" t="s">
        <v>30</v>
      </c>
      <c r="H54" s="48">
        <v>0</v>
      </c>
      <c r="I54" s="48">
        <f>B54</f>
        <v>1</v>
      </c>
      <c r="J54" s="48" t="s">
        <v>31</v>
      </c>
      <c r="K54" s="48" t="s">
        <v>31</v>
      </c>
      <c r="L54" s="48" t="s">
        <v>31</v>
      </c>
      <c r="M54" s="48" t="s">
        <v>31</v>
      </c>
    </row>
    <row r="55" spans="1:14" s="48" customFormat="1" ht="12.75">
      <c r="A55" s="37" t="s">
        <v>127</v>
      </c>
      <c r="B55" s="48">
        <v>96841</v>
      </c>
      <c r="C55" s="48" t="s">
        <v>115</v>
      </c>
      <c r="D55" s="48" t="s">
        <v>41</v>
      </c>
      <c r="E55" s="48" t="s">
        <v>116</v>
      </c>
      <c r="F55" s="48" t="s">
        <v>29</v>
      </c>
      <c r="G55" s="48" t="s">
        <v>43</v>
      </c>
      <c r="H55" s="48">
        <v>0</v>
      </c>
      <c r="I55" s="48">
        <f>B55</f>
        <v>96841</v>
      </c>
      <c r="J55" s="48" t="s">
        <v>31</v>
      </c>
      <c r="K55" s="48" t="s">
        <v>31</v>
      </c>
      <c r="L55" s="48" t="s">
        <v>31</v>
      </c>
      <c r="M55" s="48" t="s">
        <v>31</v>
      </c>
      <c r="N55" s="48" t="s">
        <v>117</v>
      </c>
    </row>
    <row r="56" spans="1:14" s="48" customFormat="1" ht="12.75">
      <c r="A56" s="48" t="s">
        <v>128</v>
      </c>
      <c r="B56" s="48">
        <f>100*B55</f>
        <v>9684100</v>
      </c>
      <c r="C56" s="48" t="s">
        <v>119</v>
      </c>
      <c r="D56" s="48" t="s">
        <v>41</v>
      </c>
      <c r="E56" s="48" t="s">
        <v>116</v>
      </c>
      <c r="F56" s="48" t="s">
        <v>29</v>
      </c>
      <c r="G56" s="48" t="s">
        <v>43</v>
      </c>
      <c r="H56" s="48">
        <v>0</v>
      </c>
      <c r="I56" s="48">
        <f>B56</f>
        <v>9684100</v>
      </c>
      <c r="J56" s="48" t="s">
        <v>31</v>
      </c>
      <c r="K56" s="48" t="s">
        <v>31</v>
      </c>
      <c r="L56" s="48" t="s">
        <v>31</v>
      </c>
      <c r="M56" s="48" t="s">
        <v>31</v>
      </c>
      <c r="N56" s="48" t="s">
        <v>120</v>
      </c>
    </row>
    <row r="57" spans="1:14" s="48" customFormat="1" ht="12.75">
      <c r="A57" s="68" t="s">
        <v>129</v>
      </c>
      <c r="B57" s="63">
        <f>B55*0.3*P7</f>
        <v>87165.616561656163</v>
      </c>
      <c r="C57" s="48" t="s">
        <v>48</v>
      </c>
      <c r="D57" s="48" t="s">
        <v>38</v>
      </c>
      <c r="E57" s="48" t="s">
        <v>29</v>
      </c>
      <c r="F57" s="48" t="s">
        <v>130</v>
      </c>
      <c r="G57" s="48" t="s">
        <v>33</v>
      </c>
      <c r="H57" s="48">
        <v>0</v>
      </c>
      <c r="I57" s="48">
        <f t="shared" ref="I57" si="2">B57</f>
        <v>87165.616561656163</v>
      </c>
      <c r="J57" s="48" t="s">
        <v>31</v>
      </c>
      <c r="K57" s="48" t="s">
        <v>31</v>
      </c>
      <c r="L57" s="48" t="s">
        <v>31</v>
      </c>
      <c r="M57" s="48" t="s">
        <v>31</v>
      </c>
      <c r="N57" s="48" t="s">
        <v>131</v>
      </c>
    </row>
    <row r="58" spans="1:14" ht="15.75">
      <c r="A58" s="50" t="s">
        <v>5</v>
      </c>
      <c r="B58" s="50" t="s">
        <v>111</v>
      </c>
      <c r="C58" s="51"/>
      <c r="D58" s="52"/>
      <c r="E58" s="52"/>
      <c r="F58" s="52"/>
      <c r="G58" s="52"/>
      <c r="H58" s="52"/>
      <c r="I58" s="52"/>
      <c r="J58" s="52"/>
      <c r="K58" s="52"/>
      <c r="L58" s="52"/>
      <c r="M58" s="52"/>
      <c r="N58" s="52"/>
    </row>
    <row r="59" spans="1:14" s="48" customFormat="1" ht="12.75">
      <c r="A59" s="48" t="s">
        <v>7</v>
      </c>
      <c r="B59" s="48" t="s">
        <v>61</v>
      </c>
    </row>
    <row r="60" spans="1:14" s="48" customFormat="1" ht="12.75">
      <c r="A60" s="48" t="s">
        <v>9</v>
      </c>
      <c r="B60" s="48" t="s">
        <v>132</v>
      </c>
    </row>
    <row r="61" spans="1:14" s="48" customFormat="1" ht="12.75">
      <c r="A61" s="48" t="s">
        <v>11</v>
      </c>
      <c r="B61" s="48" t="s">
        <v>133</v>
      </c>
    </row>
    <row r="62" spans="1:14" s="48" customFormat="1" ht="12.75">
      <c r="A62" s="48" t="s">
        <v>13</v>
      </c>
      <c r="B62" s="48" t="s">
        <v>35</v>
      </c>
    </row>
    <row r="63" spans="1:14" s="48" customFormat="1" ht="12.75">
      <c r="A63" s="48" t="s">
        <v>15</v>
      </c>
      <c r="B63" s="37">
        <v>1</v>
      </c>
    </row>
    <row r="64" spans="1:14" s="48" customFormat="1" ht="12.75">
      <c r="A64" s="48" t="s">
        <v>16</v>
      </c>
      <c r="B64" s="48" t="s">
        <v>17</v>
      </c>
    </row>
    <row r="65" spans="1:14" s="48" customFormat="1" ht="12.75">
      <c r="A65" s="48" t="s">
        <v>18</v>
      </c>
      <c r="B65" s="48" t="s">
        <v>18</v>
      </c>
    </row>
    <row r="66" spans="1:14" ht="15.75">
      <c r="A66" s="47" t="s">
        <v>19</v>
      </c>
    </row>
    <row r="67" spans="1:14" ht="15.75">
      <c r="A67" s="47" t="s">
        <v>20</v>
      </c>
      <c r="B67" s="47" t="s">
        <v>21</v>
      </c>
      <c r="C67" s="47" t="s">
        <v>18</v>
      </c>
      <c r="D67" s="47" t="s">
        <v>22</v>
      </c>
      <c r="E67" s="47" t="s">
        <v>7</v>
      </c>
      <c r="F67" s="47" t="s">
        <v>13</v>
      </c>
      <c r="G67" s="47" t="s">
        <v>16</v>
      </c>
      <c r="H67" s="47" t="s">
        <v>23</v>
      </c>
      <c r="I67" s="47" t="s">
        <v>24</v>
      </c>
      <c r="J67" s="47" t="s">
        <v>25</v>
      </c>
      <c r="K67" s="47" t="s">
        <v>26</v>
      </c>
      <c r="L67" s="47" t="s">
        <v>27</v>
      </c>
      <c r="M67" s="47" t="s">
        <v>28</v>
      </c>
      <c r="N67" s="47" t="s">
        <v>70</v>
      </c>
    </row>
    <row r="68" spans="1:14" s="48" customFormat="1" ht="12.75">
      <c r="A68" s="48" t="s">
        <v>111</v>
      </c>
      <c r="B68" s="48">
        <f>B63</f>
        <v>1</v>
      </c>
      <c r="C68" s="48" t="str">
        <f>B65</f>
        <v>unit</v>
      </c>
      <c r="D68" s="48" t="s">
        <v>2</v>
      </c>
      <c r="E68" s="48" t="s">
        <v>29</v>
      </c>
      <c r="F68" s="48" t="str">
        <f>B62</f>
        <v>RER</v>
      </c>
      <c r="G68" s="48" t="s">
        <v>30</v>
      </c>
      <c r="H68" s="48">
        <v>0</v>
      </c>
      <c r="I68" s="48">
        <f>B68</f>
        <v>1</v>
      </c>
      <c r="J68" s="48" t="s">
        <v>31</v>
      </c>
      <c r="K68" s="48" t="s">
        <v>31</v>
      </c>
      <c r="L68" s="48" t="s">
        <v>31</v>
      </c>
      <c r="M68" s="48" t="s">
        <v>31</v>
      </c>
    </row>
    <row r="69" spans="1:14" s="48" customFormat="1" ht="12.75">
      <c r="A69" s="37" t="s">
        <v>134</v>
      </c>
      <c r="B69" s="63">
        <f>466000-B40-B55</f>
        <v>319534</v>
      </c>
      <c r="C69" s="48" t="s">
        <v>115</v>
      </c>
      <c r="D69" s="48" t="s">
        <v>41</v>
      </c>
      <c r="E69" s="48" t="s">
        <v>116</v>
      </c>
      <c r="F69" s="48" t="s">
        <v>29</v>
      </c>
      <c r="G69" s="48" t="s">
        <v>43</v>
      </c>
      <c r="H69" s="48">
        <v>0</v>
      </c>
      <c r="I69" s="48">
        <f t="shared" ref="I69" si="3">B69</f>
        <v>319534</v>
      </c>
      <c r="J69" s="48" t="s">
        <v>31</v>
      </c>
      <c r="K69" s="48" t="s">
        <v>31</v>
      </c>
      <c r="L69" s="48" t="s">
        <v>31</v>
      </c>
      <c r="M69" s="48" t="s">
        <v>31</v>
      </c>
      <c r="N69" s="48" t="s">
        <v>117</v>
      </c>
    </row>
    <row r="70" spans="1:14" s="48" customFormat="1" ht="15.75">
      <c r="A70" s="50" t="s">
        <v>5</v>
      </c>
      <c r="B70" s="50" t="s">
        <v>103</v>
      </c>
      <c r="C70" s="51"/>
      <c r="D70" s="52"/>
      <c r="E70" s="52"/>
      <c r="F70" s="52"/>
      <c r="G70" s="52"/>
      <c r="H70" s="52"/>
      <c r="I70" s="52"/>
      <c r="J70" s="52"/>
      <c r="K70" s="52"/>
      <c r="L70" s="52"/>
      <c r="M70" s="52"/>
      <c r="N70" s="52"/>
    </row>
    <row r="71" spans="1:14" s="48" customFormat="1" ht="12.75">
      <c r="A71" s="48" t="s">
        <v>7</v>
      </c>
      <c r="B71" s="48" t="s">
        <v>61</v>
      </c>
    </row>
    <row r="72" spans="1:14" s="48" customFormat="1" ht="12.75">
      <c r="A72" s="48" t="s">
        <v>9</v>
      </c>
      <c r="B72" s="48" t="s">
        <v>135</v>
      </c>
    </row>
    <row r="73" spans="1:14">
      <c r="A73" s="48" t="s">
        <v>11</v>
      </c>
      <c r="B73" s="48" t="s">
        <v>136</v>
      </c>
      <c r="C73" s="48"/>
      <c r="D73" s="48"/>
      <c r="E73" s="48"/>
      <c r="F73" s="48"/>
      <c r="G73" s="48"/>
      <c r="H73" s="48"/>
      <c r="I73" s="48"/>
      <c r="J73" s="48"/>
      <c r="K73" s="48"/>
      <c r="L73" s="48"/>
      <c r="M73" s="48"/>
      <c r="N73" s="48"/>
    </row>
    <row r="74" spans="1:14">
      <c r="A74" s="48" t="s">
        <v>13</v>
      </c>
      <c r="B74" s="48" t="s">
        <v>35</v>
      </c>
      <c r="C74" s="48"/>
      <c r="D74" s="48"/>
      <c r="E74" s="48"/>
      <c r="F74" s="48"/>
      <c r="G74" s="48"/>
      <c r="H74" s="48"/>
      <c r="I74" s="48"/>
      <c r="J74" s="48"/>
      <c r="K74" s="48"/>
      <c r="L74" s="48"/>
      <c r="M74" s="48"/>
      <c r="N74" s="48"/>
    </row>
    <row r="75" spans="1:14">
      <c r="A75" s="48" t="s">
        <v>15</v>
      </c>
      <c r="B75" s="37">
        <v>1</v>
      </c>
      <c r="C75" s="48"/>
      <c r="D75" s="48"/>
      <c r="E75" s="48"/>
      <c r="F75" s="48"/>
      <c r="G75" s="48"/>
      <c r="H75" s="48"/>
      <c r="I75" s="48"/>
      <c r="J75" s="48"/>
      <c r="K75" s="48"/>
      <c r="L75" s="48"/>
      <c r="M75" s="48"/>
      <c r="N75" s="48"/>
    </row>
    <row r="76" spans="1:14">
      <c r="A76" s="48" t="s">
        <v>16</v>
      </c>
      <c r="B76" s="48" t="s">
        <v>17</v>
      </c>
      <c r="C76" s="48"/>
      <c r="D76" s="48"/>
      <c r="E76" s="48"/>
      <c r="F76" s="48"/>
      <c r="G76" s="48"/>
      <c r="H76" s="48"/>
      <c r="I76" s="48"/>
      <c r="J76" s="48"/>
      <c r="K76" s="48"/>
      <c r="L76" s="48"/>
      <c r="M76" s="48"/>
      <c r="N76" s="48"/>
    </row>
    <row r="77" spans="1:14">
      <c r="A77" s="48" t="s">
        <v>18</v>
      </c>
      <c r="B77" s="48" t="s">
        <v>18</v>
      </c>
      <c r="C77" s="48"/>
      <c r="D77" s="48"/>
      <c r="E77" s="48"/>
      <c r="F77" s="48"/>
      <c r="G77" s="48"/>
      <c r="H77" s="48"/>
      <c r="I77" s="48"/>
      <c r="J77" s="48"/>
      <c r="K77" s="48"/>
      <c r="L77" s="48"/>
      <c r="M77" s="48"/>
      <c r="N77" s="48"/>
    </row>
    <row r="78" spans="1:14" ht="15.75">
      <c r="A78" s="47" t="s">
        <v>19</v>
      </c>
    </row>
    <row r="79" spans="1:14" ht="15.75">
      <c r="A79" s="47" t="s">
        <v>20</v>
      </c>
      <c r="B79" s="47" t="s">
        <v>21</v>
      </c>
      <c r="C79" s="47" t="s">
        <v>18</v>
      </c>
      <c r="D79" s="47" t="s">
        <v>22</v>
      </c>
      <c r="E79" s="47" t="s">
        <v>7</v>
      </c>
      <c r="F79" s="47" t="s">
        <v>13</v>
      </c>
      <c r="G79" s="47" t="s">
        <v>16</v>
      </c>
      <c r="H79" s="47" t="s">
        <v>23</v>
      </c>
      <c r="I79" s="47" t="s">
        <v>24</v>
      </c>
      <c r="J79" s="47" t="s">
        <v>25</v>
      </c>
      <c r="K79" s="47" t="s">
        <v>26</v>
      </c>
      <c r="L79" s="47" t="s">
        <v>27</v>
      </c>
      <c r="M79" s="47" t="s">
        <v>28</v>
      </c>
      <c r="N79" s="47" t="s">
        <v>70</v>
      </c>
    </row>
    <row r="80" spans="1:14">
      <c r="A80" s="48" t="s">
        <v>103</v>
      </c>
      <c r="B80" s="48">
        <f>B75</f>
        <v>1</v>
      </c>
      <c r="C80" s="48" t="str">
        <f>B77</f>
        <v>unit</v>
      </c>
      <c r="D80" s="48" t="s">
        <v>2</v>
      </c>
      <c r="E80" s="48" t="s">
        <v>29</v>
      </c>
      <c r="F80" s="48" t="str">
        <f>B74</f>
        <v>RER</v>
      </c>
      <c r="G80" s="48" t="s">
        <v>30</v>
      </c>
      <c r="H80" s="48">
        <v>0</v>
      </c>
      <c r="I80" s="48">
        <f>B80</f>
        <v>1</v>
      </c>
      <c r="J80" s="48" t="s">
        <v>31</v>
      </c>
      <c r="K80" s="48" t="s">
        <v>31</v>
      </c>
      <c r="L80" s="48" t="s">
        <v>31</v>
      </c>
      <c r="M80" s="48" t="s">
        <v>31</v>
      </c>
      <c r="N80" s="48"/>
    </row>
    <row r="81" spans="1:14">
      <c r="A81" s="37" t="s">
        <v>137</v>
      </c>
      <c r="B81" s="63">
        <v>1</v>
      </c>
      <c r="C81" s="48" t="s">
        <v>18</v>
      </c>
      <c r="D81" s="48" t="s">
        <v>2</v>
      </c>
      <c r="E81" s="48" t="s">
        <v>29</v>
      </c>
      <c r="F81" s="48" t="s">
        <v>35</v>
      </c>
      <c r="G81" s="48" t="s">
        <v>33</v>
      </c>
      <c r="H81" s="48">
        <v>0</v>
      </c>
      <c r="I81" s="48">
        <f>B81</f>
        <v>1</v>
      </c>
      <c r="J81" s="48" t="s">
        <v>31</v>
      </c>
      <c r="K81" s="48" t="s">
        <v>31</v>
      </c>
      <c r="L81" s="48" t="s">
        <v>31</v>
      </c>
      <c r="M81" s="48" t="s">
        <v>31</v>
      </c>
      <c r="N81" s="48" t="s">
        <v>138</v>
      </c>
    </row>
    <row r="82" spans="1:14">
      <c r="A82" s="37" t="s">
        <v>139</v>
      </c>
      <c r="B82" s="63">
        <v>1</v>
      </c>
      <c r="C82" s="48" t="s">
        <v>18</v>
      </c>
      <c r="D82" s="48" t="s">
        <v>2</v>
      </c>
      <c r="E82" s="48" t="s">
        <v>29</v>
      </c>
      <c r="F82" s="48" t="s">
        <v>35</v>
      </c>
      <c r="G82" s="48" t="s">
        <v>33</v>
      </c>
      <c r="H82" s="48">
        <v>0</v>
      </c>
      <c r="I82" s="48">
        <f>B82</f>
        <v>1</v>
      </c>
      <c r="J82" s="48" t="s">
        <v>31</v>
      </c>
      <c r="K82" s="48" t="s">
        <v>31</v>
      </c>
      <c r="L82" s="48" t="s">
        <v>31</v>
      </c>
      <c r="M82" s="48" t="s">
        <v>31</v>
      </c>
      <c r="N82" s="48" t="s">
        <v>140</v>
      </c>
    </row>
    <row r="83" spans="1:14">
      <c r="A83" s="37" t="s">
        <v>141</v>
      </c>
      <c r="B83" s="63">
        <v>1</v>
      </c>
      <c r="C83" s="48" t="s">
        <v>18</v>
      </c>
      <c r="D83" s="48" t="s">
        <v>2</v>
      </c>
      <c r="E83" s="48" t="s">
        <v>29</v>
      </c>
      <c r="F83" s="48" t="s">
        <v>35</v>
      </c>
      <c r="G83" s="48" t="s">
        <v>33</v>
      </c>
      <c r="H83" s="48">
        <v>0</v>
      </c>
      <c r="I83" s="48">
        <f>B83</f>
        <v>1</v>
      </c>
      <c r="J83" s="48" t="s">
        <v>31</v>
      </c>
      <c r="K83" s="48" t="s">
        <v>31</v>
      </c>
      <c r="L83" s="48" t="s">
        <v>31</v>
      </c>
      <c r="M83" s="48" t="s">
        <v>31</v>
      </c>
      <c r="N83" s="48" t="s">
        <v>142</v>
      </c>
    </row>
    <row r="84" spans="1:14">
      <c r="A84" s="37" t="s">
        <v>143</v>
      </c>
      <c r="B84" s="63">
        <v>1</v>
      </c>
      <c r="C84" s="48" t="s">
        <v>18</v>
      </c>
      <c r="D84" s="48" t="s">
        <v>2</v>
      </c>
      <c r="E84" s="48" t="s">
        <v>29</v>
      </c>
      <c r="F84" s="48" t="s">
        <v>35</v>
      </c>
      <c r="G84" s="48" t="s">
        <v>33</v>
      </c>
      <c r="H84" s="48">
        <v>0</v>
      </c>
      <c r="I84" s="48">
        <f t="shared" ref="I84:I87" si="4">B84</f>
        <v>1</v>
      </c>
      <c r="J84" s="48" t="s">
        <v>31</v>
      </c>
      <c r="K84" s="48" t="s">
        <v>31</v>
      </c>
      <c r="L84" s="48" t="s">
        <v>31</v>
      </c>
      <c r="M84" s="48" t="s">
        <v>31</v>
      </c>
      <c r="N84" s="48" t="s">
        <v>144</v>
      </c>
    </row>
    <row r="85" spans="1:14">
      <c r="A85" s="37" t="s">
        <v>145</v>
      </c>
      <c r="B85" s="63">
        <v>1</v>
      </c>
      <c r="C85" s="48" t="s">
        <v>18</v>
      </c>
      <c r="D85" s="48" t="s">
        <v>2</v>
      </c>
      <c r="E85" s="48" t="s">
        <v>29</v>
      </c>
      <c r="F85" s="48" t="s">
        <v>35</v>
      </c>
      <c r="G85" s="48" t="s">
        <v>33</v>
      </c>
      <c r="H85" s="48">
        <v>0</v>
      </c>
      <c r="I85" s="48">
        <f t="shared" si="4"/>
        <v>1</v>
      </c>
      <c r="J85" s="48" t="s">
        <v>31</v>
      </c>
      <c r="K85" s="48" t="s">
        <v>31</v>
      </c>
      <c r="L85" s="48" t="s">
        <v>31</v>
      </c>
      <c r="M85" s="48" t="s">
        <v>31</v>
      </c>
      <c r="N85" s="48" t="s">
        <v>146</v>
      </c>
    </row>
    <row r="86" spans="1:14">
      <c r="A86" s="37" t="s">
        <v>147</v>
      </c>
      <c r="B86" s="63">
        <v>1</v>
      </c>
      <c r="C86" s="48" t="s">
        <v>18</v>
      </c>
      <c r="D86" s="48" t="s">
        <v>2</v>
      </c>
      <c r="E86" s="48" t="s">
        <v>29</v>
      </c>
      <c r="F86" s="48" t="s">
        <v>35</v>
      </c>
      <c r="G86" s="48" t="s">
        <v>33</v>
      </c>
      <c r="H86" s="48">
        <v>0</v>
      </c>
      <c r="I86" s="48">
        <f t="shared" si="4"/>
        <v>1</v>
      </c>
      <c r="J86" s="48" t="s">
        <v>31</v>
      </c>
      <c r="K86" s="48" t="s">
        <v>31</v>
      </c>
      <c r="L86" s="48" t="s">
        <v>31</v>
      </c>
      <c r="M86" s="48" t="s">
        <v>31</v>
      </c>
      <c r="N86" s="48" t="s">
        <v>148</v>
      </c>
    </row>
    <row r="87" spans="1:14">
      <c r="A87" s="37" t="s">
        <v>149</v>
      </c>
      <c r="B87" s="63">
        <v>1</v>
      </c>
      <c r="C87" s="48" t="s">
        <v>18</v>
      </c>
      <c r="D87" s="48" t="s">
        <v>2</v>
      </c>
      <c r="E87" s="48" t="s">
        <v>29</v>
      </c>
      <c r="F87" s="48" t="s">
        <v>35</v>
      </c>
      <c r="G87" s="48" t="s">
        <v>33</v>
      </c>
      <c r="H87" s="48">
        <v>0</v>
      </c>
      <c r="I87" s="48">
        <f t="shared" si="4"/>
        <v>1</v>
      </c>
      <c r="J87" s="48" t="s">
        <v>31</v>
      </c>
      <c r="K87" s="48" t="s">
        <v>31</v>
      </c>
      <c r="L87" s="48" t="s">
        <v>31</v>
      </c>
      <c r="M87" s="48" t="s">
        <v>31</v>
      </c>
      <c r="N87" s="48" t="s">
        <v>150</v>
      </c>
    </row>
    <row r="88" spans="1:14" ht="15.75">
      <c r="A88" s="50" t="s">
        <v>5</v>
      </c>
      <c r="B88" s="50" t="s">
        <v>137</v>
      </c>
      <c r="C88" s="51"/>
      <c r="D88" s="52"/>
      <c r="E88" s="52"/>
      <c r="F88" s="52"/>
      <c r="G88" s="52"/>
      <c r="H88" s="52"/>
      <c r="I88" s="52"/>
      <c r="J88" s="52"/>
      <c r="K88" s="52"/>
      <c r="L88" s="52"/>
      <c r="M88" s="52"/>
      <c r="N88" s="52"/>
    </row>
    <row r="89" spans="1:14">
      <c r="A89" s="48" t="s">
        <v>7</v>
      </c>
      <c r="B89" s="48" t="s">
        <v>61</v>
      </c>
      <c r="C89" s="48"/>
      <c r="D89" s="48"/>
      <c r="E89" s="48"/>
      <c r="F89" s="48"/>
      <c r="G89" s="48"/>
      <c r="H89" s="48"/>
      <c r="I89" s="48"/>
      <c r="J89" s="48"/>
      <c r="K89" s="48"/>
      <c r="L89" s="48"/>
      <c r="M89" s="48"/>
      <c r="N89" s="48"/>
    </row>
    <row r="90" spans="1:14">
      <c r="A90" s="48" t="s">
        <v>9</v>
      </c>
      <c r="B90" s="48" t="s">
        <v>151</v>
      </c>
      <c r="C90" s="48"/>
      <c r="D90" s="48"/>
      <c r="E90" s="48"/>
      <c r="F90" s="48"/>
      <c r="G90" s="48"/>
      <c r="H90" s="48"/>
      <c r="I90" s="48"/>
      <c r="J90" s="48"/>
      <c r="K90" s="48"/>
      <c r="L90" s="48"/>
      <c r="M90" s="48"/>
      <c r="N90" s="48"/>
    </row>
    <row r="91" spans="1:14">
      <c r="A91" s="48" t="s">
        <v>11</v>
      </c>
      <c r="B91" s="48" t="s">
        <v>152</v>
      </c>
      <c r="C91" s="48"/>
      <c r="D91" s="48"/>
      <c r="E91" s="48"/>
      <c r="F91" s="48"/>
      <c r="G91" s="48"/>
      <c r="H91" s="48"/>
      <c r="I91" s="48"/>
      <c r="J91" s="48"/>
      <c r="K91" s="48"/>
      <c r="L91" s="48"/>
      <c r="M91" s="48"/>
      <c r="N91" s="48"/>
    </row>
    <row r="92" spans="1:14">
      <c r="A92" s="48" t="s">
        <v>13</v>
      </c>
      <c r="B92" s="48" t="s">
        <v>35</v>
      </c>
      <c r="C92" s="48"/>
      <c r="D92" s="48"/>
      <c r="E92" s="48"/>
      <c r="F92" s="48"/>
      <c r="G92" s="48"/>
      <c r="H92" s="48"/>
      <c r="I92" s="48"/>
      <c r="J92" s="48"/>
      <c r="K92" s="48"/>
      <c r="L92" s="48"/>
      <c r="M92" s="48"/>
      <c r="N92" s="48"/>
    </row>
    <row r="93" spans="1:14">
      <c r="A93" s="48" t="s">
        <v>15</v>
      </c>
      <c r="B93" s="37">
        <v>1</v>
      </c>
      <c r="C93" s="48"/>
      <c r="D93" s="48"/>
      <c r="E93" s="48"/>
      <c r="F93" s="48"/>
      <c r="G93" s="48"/>
      <c r="H93" s="48"/>
      <c r="I93" s="48"/>
      <c r="J93" s="48"/>
      <c r="K93" s="48"/>
      <c r="L93" s="48"/>
      <c r="M93" s="48"/>
      <c r="N93" s="48"/>
    </row>
    <row r="94" spans="1:14">
      <c r="A94" s="48" t="s">
        <v>16</v>
      </c>
      <c r="B94" s="48" t="s">
        <v>17</v>
      </c>
      <c r="C94" s="48"/>
      <c r="D94" s="48"/>
      <c r="E94" s="48"/>
      <c r="F94" s="48"/>
      <c r="G94" s="48"/>
      <c r="H94" s="48"/>
      <c r="I94" s="48"/>
      <c r="J94" s="48"/>
      <c r="K94" s="48"/>
      <c r="L94" s="48"/>
      <c r="M94" s="48"/>
      <c r="N94" s="48"/>
    </row>
    <row r="95" spans="1:14">
      <c r="A95" s="48" t="s">
        <v>18</v>
      </c>
      <c r="B95" s="48" t="s">
        <v>18</v>
      </c>
      <c r="C95" s="48"/>
      <c r="D95" s="48"/>
      <c r="E95" s="48"/>
      <c r="F95" s="48"/>
      <c r="G95" s="48"/>
      <c r="H95" s="48"/>
      <c r="I95" s="48"/>
      <c r="J95" s="48"/>
      <c r="K95" s="48"/>
      <c r="L95" s="48"/>
      <c r="M95" s="48"/>
      <c r="N95" s="48"/>
    </row>
    <row r="96" spans="1:14" ht="15.75">
      <c r="A96" s="47" t="s">
        <v>19</v>
      </c>
    </row>
    <row r="97" spans="1:14" ht="15.75">
      <c r="A97" s="47" t="s">
        <v>20</v>
      </c>
      <c r="B97" s="47" t="s">
        <v>21</v>
      </c>
      <c r="C97" s="47" t="s">
        <v>18</v>
      </c>
      <c r="D97" s="47" t="s">
        <v>22</v>
      </c>
      <c r="E97" s="47" t="s">
        <v>7</v>
      </c>
      <c r="F97" s="47" t="s">
        <v>13</v>
      </c>
      <c r="G97" s="47" t="s">
        <v>16</v>
      </c>
      <c r="H97" s="47" t="s">
        <v>23</v>
      </c>
      <c r="I97" s="47" t="s">
        <v>24</v>
      </c>
      <c r="J97" s="47" t="s">
        <v>25</v>
      </c>
      <c r="K97" s="47" t="s">
        <v>26</v>
      </c>
      <c r="L97" s="47" t="s">
        <v>27</v>
      </c>
      <c r="M97" s="47" t="s">
        <v>28</v>
      </c>
      <c r="N97" s="47" t="s">
        <v>70</v>
      </c>
    </row>
    <row r="98" spans="1:14">
      <c r="A98" s="48" t="s">
        <v>137</v>
      </c>
      <c r="B98" s="48">
        <f>B93</f>
        <v>1</v>
      </c>
      <c r="C98" s="48" t="str">
        <f>B95</f>
        <v>unit</v>
      </c>
      <c r="D98" s="48" t="s">
        <v>2</v>
      </c>
      <c r="E98" s="48" t="s">
        <v>29</v>
      </c>
      <c r="F98" s="48" t="str">
        <f>B92</f>
        <v>RER</v>
      </c>
      <c r="G98" s="48" t="s">
        <v>30</v>
      </c>
      <c r="H98" s="48">
        <v>0</v>
      </c>
      <c r="I98" s="48">
        <f>B98</f>
        <v>1</v>
      </c>
      <c r="J98" s="48" t="s">
        <v>31</v>
      </c>
      <c r="K98" s="48" t="s">
        <v>31</v>
      </c>
      <c r="L98" s="48" t="s">
        <v>31</v>
      </c>
      <c r="M98" s="48" t="s">
        <v>31</v>
      </c>
      <c r="N98" s="48"/>
    </row>
    <row r="99" spans="1:14">
      <c r="A99" s="37" t="s">
        <v>114</v>
      </c>
      <c r="B99" s="63">
        <v>44863</v>
      </c>
      <c r="C99" s="48" t="s">
        <v>115</v>
      </c>
      <c r="D99" s="48" t="s">
        <v>41</v>
      </c>
      <c r="E99" s="48" t="s">
        <v>116</v>
      </c>
      <c r="F99" s="48" t="s">
        <v>29</v>
      </c>
      <c r="G99" s="48" t="s">
        <v>43</v>
      </c>
      <c r="H99" s="48">
        <v>0</v>
      </c>
      <c r="I99" s="48">
        <v>49625</v>
      </c>
      <c r="J99" s="48" t="s">
        <v>31</v>
      </c>
      <c r="K99" s="48" t="s">
        <v>31</v>
      </c>
      <c r="L99" s="48" t="s">
        <v>31</v>
      </c>
      <c r="M99" s="48" t="s">
        <v>31</v>
      </c>
      <c r="N99" s="48" t="s">
        <v>117</v>
      </c>
    </row>
    <row r="100" spans="1:14">
      <c r="A100" s="37" t="s">
        <v>118</v>
      </c>
      <c r="B100" s="63">
        <f>B99*100</f>
        <v>4486300</v>
      </c>
      <c r="C100" s="48" t="s">
        <v>119</v>
      </c>
      <c r="D100" s="48" t="s">
        <v>41</v>
      </c>
      <c r="E100" s="48" t="s">
        <v>116</v>
      </c>
      <c r="F100" s="48" t="s">
        <v>29</v>
      </c>
      <c r="G100" s="48" t="s">
        <v>43</v>
      </c>
      <c r="H100" s="48">
        <v>0</v>
      </c>
      <c r="I100" s="48">
        <v>4962500</v>
      </c>
      <c r="J100" s="48" t="s">
        <v>31</v>
      </c>
      <c r="K100" s="48" t="s">
        <v>31</v>
      </c>
      <c r="L100" s="48" t="s">
        <v>31</v>
      </c>
      <c r="M100" s="48" t="s">
        <v>31</v>
      </c>
      <c r="N100" s="48" t="s">
        <v>120</v>
      </c>
    </row>
    <row r="101" spans="1:14" s="48" customFormat="1" ht="12.75">
      <c r="A101" s="37" t="s">
        <v>121</v>
      </c>
      <c r="B101" s="63">
        <f>B99*0.7</f>
        <v>31404.1</v>
      </c>
      <c r="C101" s="48" t="s">
        <v>115</v>
      </c>
      <c r="D101" s="48" t="s">
        <v>38</v>
      </c>
      <c r="E101" s="48" t="s">
        <v>29</v>
      </c>
      <c r="F101" s="48" t="s">
        <v>57</v>
      </c>
      <c r="G101" s="48" t="s">
        <v>33</v>
      </c>
      <c r="H101" s="48">
        <v>0</v>
      </c>
      <c r="I101" s="48">
        <f t="shared" ref="I101:I102" si="5">B101</f>
        <v>31404.1</v>
      </c>
      <c r="J101" s="48" t="s">
        <v>31</v>
      </c>
      <c r="K101" s="48" t="s">
        <v>31</v>
      </c>
      <c r="L101" s="48" t="s">
        <v>31</v>
      </c>
      <c r="M101" s="48" t="s">
        <v>31</v>
      </c>
      <c r="N101" s="48" t="s">
        <v>122</v>
      </c>
    </row>
    <row r="102" spans="1:14" s="48" customFormat="1" ht="12.75">
      <c r="A102" s="67" t="s">
        <v>123</v>
      </c>
      <c r="B102" s="63">
        <f>B99*0.3*5*2.5*P7</f>
        <v>504759.22592259228</v>
      </c>
      <c r="C102" s="48" t="s">
        <v>48</v>
      </c>
      <c r="D102" s="48" t="s">
        <v>38</v>
      </c>
      <c r="E102" s="48" t="s">
        <v>29</v>
      </c>
      <c r="F102" s="48" t="s">
        <v>57</v>
      </c>
      <c r="G102" s="48" t="s">
        <v>33</v>
      </c>
      <c r="H102" s="48">
        <v>0</v>
      </c>
      <c r="I102" s="48">
        <f t="shared" si="5"/>
        <v>504759.22592259228</v>
      </c>
      <c r="J102" s="48" t="s">
        <v>31</v>
      </c>
      <c r="K102" s="48" t="s">
        <v>31</v>
      </c>
      <c r="L102" s="48" t="s">
        <v>31</v>
      </c>
      <c r="M102" s="48" t="s">
        <v>31</v>
      </c>
      <c r="N102" s="48" t="s">
        <v>124</v>
      </c>
    </row>
    <row r="103" spans="1:14" ht="15.75">
      <c r="A103" s="50" t="s">
        <v>5</v>
      </c>
      <c r="B103" s="50" t="s">
        <v>139</v>
      </c>
      <c r="C103" s="51"/>
      <c r="D103" s="52"/>
      <c r="E103" s="52"/>
      <c r="F103" s="52"/>
      <c r="G103" s="52"/>
      <c r="H103" s="52"/>
      <c r="I103" s="52"/>
      <c r="J103" s="52"/>
      <c r="K103" s="52"/>
      <c r="L103" s="52"/>
      <c r="M103" s="52"/>
      <c r="N103" s="52"/>
    </row>
    <row r="104" spans="1:14">
      <c r="A104" s="48" t="s">
        <v>7</v>
      </c>
      <c r="B104" s="48" t="s">
        <v>61</v>
      </c>
      <c r="C104" s="48"/>
      <c r="D104" s="48"/>
      <c r="E104" s="48"/>
      <c r="F104" s="48"/>
      <c r="G104" s="48"/>
      <c r="H104" s="48"/>
      <c r="I104" s="48"/>
      <c r="J104" s="48"/>
      <c r="K104" s="48"/>
      <c r="L104" s="48"/>
      <c r="M104" s="48"/>
      <c r="N104" s="48"/>
    </row>
    <row r="105" spans="1:14">
      <c r="A105" s="48" t="s">
        <v>9</v>
      </c>
      <c r="B105" s="48" t="s">
        <v>153</v>
      </c>
      <c r="C105" s="48"/>
      <c r="D105" s="48"/>
      <c r="E105" s="48"/>
      <c r="F105" s="48"/>
      <c r="G105" s="48"/>
      <c r="H105" s="48"/>
      <c r="I105" s="48"/>
      <c r="J105" s="48"/>
      <c r="K105" s="48"/>
      <c r="L105" s="48"/>
      <c r="M105" s="48"/>
      <c r="N105" s="48"/>
    </row>
    <row r="106" spans="1:14">
      <c r="A106" s="48" t="s">
        <v>11</v>
      </c>
      <c r="B106" s="48" t="s">
        <v>154</v>
      </c>
      <c r="C106" s="48"/>
      <c r="D106" s="48"/>
      <c r="E106" s="48"/>
      <c r="F106" s="48"/>
      <c r="G106" s="48"/>
      <c r="H106" s="48"/>
      <c r="I106" s="48"/>
      <c r="J106" s="48"/>
      <c r="K106" s="48"/>
      <c r="L106" s="48"/>
      <c r="M106" s="48"/>
      <c r="N106" s="48"/>
    </row>
    <row r="107" spans="1:14">
      <c r="A107" s="48" t="s">
        <v>13</v>
      </c>
      <c r="B107" s="48" t="s">
        <v>35</v>
      </c>
      <c r="C107" s="48"/>
      <c r="D107" s="48"/>
      <c r="E107" s="48"/>
      <c r="F107" s="48"/>
      <c r="G107" s="48"/>
      <c r="H107" s="48"/>
      <c r="I107" s="48"/>
      <c r="J107" s="48"/>
      <c r="K107" s="48"/>
      <c r="L107" s="48"/>
      <c r="M107" s="48"/>
      <c r="N107" s="48"/>
    </row>
    <row r="108" spans="1:14">
      <c r="A108" s="48" t="s">
        <v>15</v>
      </c>
      <c r="B108" s="37">
        <v>1</v>
      </c>
      <c r="C108" s="48"/>
      <c r="D108" s="48"/>
      <c r="E108" s="48"/>
      <c r="F108" s="48"/>
      <c r="G108" s="48"/>
      <c r="H108" s="48"/>
      <c r="I108" s="48"/>
      <c r="J108" s="48"/>
      <c r="K108" s="48"/>
      <c r="L108" s="48"/>
      <c r="M108" s="48"/>
      <c r="N108" s="48"/>
    </row>
    <row r="109" spans="1:14">
      <c r="A109" s="48" t="s">
        <v>16</v>
      </c>
      <c r="B109" s="48" t="s">
        <v>17</v>
      </c>
      <c r="C109" s="48"/>
      <c r="D109" s="48"/>
      <c r="E109" s="48"/>
      <c r="F109" s="48"/>
      <c r="G109" s="48"/>
      <c r="H109" s="48"/>
      <c r="I109" s="48"/>
      <c r="J109" s="48"/>
      <c r="K109" s="48"/>
      <c r="L109" s="48"/>
      <c r="M109" s="48"/>
      <c r="N109" s="48"/>
    </row>
    <row r="110" spans="1:14">
      <c r="A110" s="48" t="s">
        <v>18</v>
      </c>
      <c r="B110" s="48" t="s">
        <v>18</v>
      </c>
      <c r="C110" s="48"/>
      <c r="D110" s="48"/>
      <c r="E110" s="48"/>
      <c r="F110" s="48"/>
      <c r="G110" s="48"/>
      <c r="H110" s="48"/>
      <c r="I110" s="48"/>
      <c r="J110" s="48"/>
      <c r="K110" s="48"/>
      <c r="L110" s="48"/>
      <c r="M110" s="48"/>
      <c r="N110" s="48"/>
    </row>
    <row r="111" spans="1:14" ht="15.75">
      <c r="A111" s="47" t="s">
        <v>19</v>
      </c>
    </row>
    <row r="112" spans="1:14" ht="15.75">
      <c r="A112" s="47" t="s">
        <v>20</v>
      </c>
      <c r="B112" s="47" t="s">
        <v>21</v>
      </c>
      <c r="C112" s="47" t="s">
        <v>18</v>
      </c>
      <c r="D112" s="47" t="s">
        <v>22</v>
      </c>
      <c r="E112" s="47" t="s">
        <v>7</v>
      </c>
      <c r="F112" s="47" t="s">
        <v>13</v>
      </c>
      <c r="G112" s="47" t="s">
        <v>16</v>
      </c>
      <c r="H112" s="47" t="s">
        <v>23</v>
      </c>
      <c r="I112" s="47" t="s">
        <v>24</v>
      </c>
      <c r="J112" s="47" t="s">
        <v>25</v>
      </c>
      <c r="K112" s="47" t="s">
        <v>26</v>
      </c>
      <c r="L112" s="47" t="s">
        <v>27</v>
      </c>
      <c r="M112" s="47" t="s">
        <v>28</v>
      </c>
      <c r="N112" s="47" t="s">
        <v>70</v>
      </c>
    </row>
    <row r="113" spans="1:14">
      <c r="A113" s="48" t="s">
        <v>139</v>
      </c>
      <c r="B113" s="48">
        <f>B108</f>
        <v>1</v>
      </c>
      <c r="C113" s="48" t="str">
        <f>B110</f>
        <v>unit</v>
      </c>
      <c r="D113" s="48" t="s">
        <v>2</v>
      </c>
      <c r="E113" s="48" t="s">
        <v>29</v>
      </c>
      <c r="F113" s="48" t="str">
        <f>B107</f>
        <v>RER</v>
      </c>
      <c r="G113" s="48" t="s">
        <v>30</v>
      </c>
      <c r="H113" s="48">
        <v>0</v>
      </c>
      <c r="I113" s="48">
        <f>B113</f>
        <v>1</v>
      </c>
      <c r="J113" s="48" t="s">
        <v>31</v>
      </c>
      <c r="K113" s="48" t="s">
        <v>31</v>
      </c>
      <c r="L113" s="48" t="s">
        <v>31</v>
      </c>
      <c r="M113" s="48" t="s">
        <v>31</v>
      </c>
      <c r="N113" s="48"/>
    </row>
    <row r="114" spans="1:14">
      <c r="A114" s="37" t="s">
        <v>114</v>
      </c>
      <c r="B114" s="63">
        <v>9369</v>
      </c>
      <c r="C114" s="48" t="s">
        <v>115</v>
      </c>
      <c r="D114" s="48" t="s">
        <v>41</v>
      </c>
      <c r="E114" s="48" t="s">
        <v>116</v>
      </c>
      <c r="F114" s="48" t="s">
        <v>29</v>
      </c>
      <c r="G114" s="48" t="s">
        <v>43</v>
      </c>
      <c r="H114" s="48">
        <v>0</v>
      </c>
      <c r="I114" s="48">
        <v>49625</v>
      </c>
      <c r="J114" s="48" t="s">
        <v>31</v>
      </c>
      <c r="K114" s="48" t="s">
        <v>31</v>
      </c>
      <c r="L114" s="48" t="s">
        <v>31</v>
      </c>
      <c r="M114" s="48" t="s">
        <v>31</v>
      </c>
      <c r="N114" s="48" t="s">
        <v>117</v>
      </c>
    </row>
    <row r="115" spans="1:14">
      <c r="A115" s="37" t="s">
        <v>118</v>
      </c>
      <c r="B115" s="63">
        <f>B114*100</f>
        <v>936900</v>
      </c>
      <c r="C115" s="48" t="s">
        <v>119</v>
      </c>
      <c r="D115" s="48" t="s">
        <v>41</v>
      </c>
      <c r="E115" s="48" t="s">
        <v>116</v>
      </c>
      <c r="F115" s="48" t="s">
        <v>29</v>
      </c>
      <c r="G115" s="48" t="s">
        <v>43</v>
      </c>
      <c r="H115" s="48">
        <v>0</v>
      </c>
      <c r="I115" s="48">
        <v>4962500</v>
      </c>
      <c r="J115" s="48" t="s">
        <v>31</v>
      </c>
      <c r="K115" s="48" t="s">
        <v>31</v>
      </c>
      <c r="L115" s="48" t="s">
        <v>31</v>
      </c>
      <c r="M115" s="48" t="s">
        <v>31</v>
      </c>
      <c r="N115" s="48" t="s">
        <v>120</v>
      </c>
    </row>
    <row r="116" spans="1:14" s="48" customFormat="1" ht="12.75">
      <c r="A116" s="37" t="s">
        <v>121</v>
      </c>
      <c r="B116" s="63">
        <f>B114*0.7</f>
        <v>6558.2999999999993</v>
      </c>
      <c r="C116" s="48" t="s">
        <v>115</v>
      </c>
      <c r="D116" s="48" t="s">
        <v>38</v>
      </c>
      <c r="E116" s="48" t="s">
        <v>29</v>
      </c>
      <c r="F116" s="48" t="s">
        <v>57</v>
      </c>
      <c r="G116" s="48" t="s">
        <v>33</v>
      </c>
      <c r="H116" s="48">
        <v>0</v>
      </c>
      <c r="I116" s="48">
        <f t="shared" ref="I116:I117" si="6">B116</f>
        <v>6558.2999999999993</v>
      </c>
      <c r="J116" s="48" t="s">
        <v>31</v>
      </c>
      <c r="K116" s="48" t="s">
        <v>31</v>
      </c>
      <c r="L116" s="48" t="s">
        <v>31</v>
      </c>
      <c r="M116" s="48" t="s">
        <v>31</v>
      </c>
      <c r="N116" s="48" t="s">
        <v>155</v>
      </c>
    </row>
    <row r="117" spans="1:14" s="48" customFormat="1" ht="12.75">
      <c r="A117" s="67" t="s">
        <v>123</v>
      </c>
      <c r="B117" s="63">
        <f>B114*0.3*5*2.5*P7</f>
        <v>105411.79117911791</v>
      </c>
      <c r="C117" s="48" t="s">
        <v>48</v>
      </c>
      <c r="D117" s="48" t="s">
        <v>38</v>
      </c>
      <c r="E117" s="48" t="s">
        <v>29</v>
      </c>
      <c r="F117" s="48" t="s">
        <v>57</v>
      </c>
      <c r="G117" s="48" t="s">
        <v>33</v>
      </c>
      <c r="H117" s="48">
        <v>0</v>
      </c>
      <c r="I117" s="48">
        <f t="shared" si="6"/>
        <v>105411.79117911791</v>
      </c>
      <c r="J117" s="48" t="s">
        <v>31</v>
      </c>
      <c r="K117" s="48" t="s">
        <v>31</v>
      </c>
      <c r="L117" s="48" t="s">
        <v>31</v>
      </c>
      <c r="M117" s="48" t="s">
        <v>31</v>
      </c>
      <c r="N117" s="48" t="s">
        <v>124</v>
      </c>
    </row>
    <row r="118" spans="1:14" ht="15.75">
      <c r="A118" s="50" t="s">
        <v>5</v>
      </c>
      <c r="B118" s="50" t="s">
        <v>141</v>
      </c>
      <c r="C118" s="51"/>
      <c r="D118" s="52"/>
      <c r="E118" s="52"/>
      <c r="F118" s="52"/>
      <c r="G118" s="52"/>
      <c r="H118" s="52"/>
      <c r="I118" s="52"/>
      <c r="J118" s="52"/>
      <c r="K118" s="52"/>
      <c r="L118" s="52"/>
      <c r="M118" s="52"/>
      <c r="N118" s="52"/>
    </row>
    <row r="119" spans="1:14">
      <c r="A119" s="48" t="s">
        <v>7</v>
      </c>
      <c r="B119" s="48" t="s">
        <v>61</v>
      </c>
      <c r="C119" s="48"/>
      <c r="D119" s="48"/>
      <c r="E119" s="48"/>
      <c r="F119" s="48"/>
      <c r="G119" s="48"/>
      <c r="H119" s="48"/>
      <c r="I119" s="48"/>
      <c r="J119" s="48"/>
      <c r="K119" s="48"/>
      <c r="L119" s="48"/>
      <c r="M119" s="48"/>
      <c r="N119" s="48"/>
    </row>
    <row r="120" spans="1:14">
      <c r="A120" s="48" t="s">
        <v>9</v>
      </c>
      <c r="B120" s="48" t="s">
        <v>156</v>
      </c>
      <c r="C120" s="48"/>
      <c r="D120" s="48"/>
      <c r="E120" s="48"/>
      <c r="F120" s="48"/>
      <c r="G120" s="48"/>
      <c r="H120" s="48"/>
      <c r="I120" s="48"/>
      <c r="J120" s="48"/>
      <c r="K120" s="48"/>
      <c r="L120" s="48"/>
      <c r="M120" s="48"/>
      <c r="N120" s="48"/>
    </row>
    <row r="121" spans="1:14">
      <c r="A121" s="48" t="s">
        <v>11</v>
      </c>
      <c r="B121" s="48" t="s">
        <v>157</v>
      </c>
      <c r="C121" s="48"/>
      <c r="D121" s="48"/>
      <c r="E121" s="48"/>
      <c r="F121" s="48"/>
      <c r="G121" s="48"/>
      <c r="H121" s="48"/>
      <c r="I121" s="48"/>
      <c r="J121" s="48"/>
      <c r="K121" s="48"/>
      <c r="L121" s="48"/>
      <c r="M121" s="48"/>
      <c r="N121" s="48"/>
    </row>
    <row r="122" spans="1:14">
      <c r="A122" s="48" t="s">
        <v>13</v>
      </c>
      <c r="B122" s="48" t="s">
        <v>35</v>
      </c>
      <c r="C122" s="48"/>
      <c r="D122" s="48"/>
      <c r="E122" s="48"/>
      <c r="F122" s="48"/>
      <c r="G122" s="48"/>
      <c r="H122" s="48"/>
      <c r="I122" s="48"/>
      <c r="J122" s="48"/>
      <c r="K122" s="48"/>
      <c r="L122" s="48"/>
      <c r="M122" s="48"/>
      <c r="N122" s="48"/>
    </row>
    <row r="123" spans="1:14">
      <c r="A123" s="48" t="s">
        <v>15</v>
      </c>
      <c r="B123" s="37">
        <v>1</v>
      </c>
      <c r="C123" s="48"/>
      <c r="D123" s="48"/>
      <c r="E123" s="48"/>
      <c r="F123" s="48"/>
      <c r="G123" s="48"/>
      <c r="H123" s="48"/>
      <c r="I123" s="48"/>
      <c r="J123" s="48"/>
      <c r="K123" s="48"/>
      <c r="L123" s="48"/>
      <c r="M123" s="48"/>
      <c r="N123" s="48"/>
    </row>
    <row r="124" spans="1:14">
      <c r="A124" s="48" t="s">
        <v>16</v>
      </c>
      <c r="B124" s="48" t="s">
        <v>17</v>
      </c>
      <c r="C124" s="48"/>
      <c r="D124" s="48"/>
      <c r="E124" s="48"/>
      <c r="F124" s="48"/>
      <c r="G124" s="48"/>
      <c r="H124" s="48"/>
      <c r="I124" s="48"/>
      <c r="J124" s="48"/>
      <c r="K124" s="48"/>
      <c r="L124" s="48"/>
      <c r="M124" s="48"/>
      <c r="N124" s="48"/>
    </row>
    <row r="125" spans="1:14">
      <c r="A125" s="48" t="s">
        <v>18</v>
      </c>
      <c r="B125" s="48" t="s">
        <v>18</v>
      </c>
      <c r="C125" s="48"/>
      <c r="D125" s="48"/>
      <c r="E125" s="48"/>
      <c r="F125" s="48"/>
      <c r="G125" s="48"/>
      <c r="H125" s="48"/>
      <c r="I125" s="48"/>
      <c r="J125" s="48"/>
      <c r="K125" s="48"/>
      <c r="L125" s="48"/>
      <c r="M125" s="48"/>
      <c r="N125" s="48"/>
    </row>
    <row r="126" spans="1:14" ht="15.75">
      <c r="A126" s="47" t="s">
        <v>19</v>
      </c>
    </row>
    <row r="127" spans="1:14" ht="15.75">
      <c r="A127" s="47" t="s">
        <v>20</v>
      </c>
      <c r="B127" s="47" t="s">
        <v>21</v>
      </c>
      <c r="C127" s="47" t="s">
        <v>18</v>
      </c>
      <c r="D127" s="47" t="s">
        <v>22</v>
      </c>
      <c r="E127" s="47" t="s">
        <v>7</v>
      </c>
      <c r="F127" s="47" t="s">
        <v>13</v>
      </c>
      <c r="G127" s="47" t="s">
        <v>16</v>
      </c>
      <c r="H127" s="47" t="s">
        <v>23</v>
      </c>
      <c r="I127" s="47" t="s">
        <v>24</v>
      </c>
      <c r="J127" s="47" t="s">
        <v>25</v>
      </c>
      <c r="K127" s="47" t="s">
        <v>26</v>
      </c>
      <c r="L127" s="47" t="s">
        <v>27</v>
      </c>
      <c r="M127" s="47" t="s">
        <v>28</v>
      </c>
      <c r="N127" s="47" t="s">
        <v>70</v>
      </c>
    </row>
    <row r="128" spans="1:14">
      <c r="A128" s="48" t="s">
        <v>141</v>
      </c>
      <c r="B128" s="48">
        <f>B123</f>
        <v>1</v>
      </c>
      <c r="C128" s="48" t="str">
        <f>B125</f>
        <v>unit</v>
      </c>
      <c r="D128" s="48" t="s">
        <v>2</v>
      </c>
      <c r="E128" s="48" t="s">
        <v>29</v>
      </c>
      <c r="F128" s="48" t="str">
        <f>B122</f>
        <v>RER</v>
      </c>
      <c r="G128" s="48" t="s">
        <v>30</v>
      </c>
      <c r="H128" s="48">
        <v>0</v>
      </c>
      <c r="I128" s="48">
        <f>B128</f>
        <v>1</v>
      </c>
      <c r="J128" s="48" t="s">
        <v>31</v>
      </c>
      <c r="K128" s="48" t="s">
        <v>31</v>
      </c>
      <c r="L128" s="48" t="s">
        <v>31</v>
      </c>
      <c r="M128" s="48" t="s">
        <v>31</v>
      </c>
      <c r="N128" s="48"/>
    </row>
    <row r="129" spans="1:14">
      <c r="A129" s="37" t="s">
        <v>114</v>
      </c>
      <c r="B129" s="63">
        <v>100</v>
      </c>
      <c r="C129" s="48" t="s">
        <v>115</v>
      </c>
      <c r="D129" s="48" t="s">
        <v>41</v>
      </c>
      <c r="E129" s="48" t="s">
        <v>116</v>
      </c>
      <c r="F129" s="48" t="s">
        <v>29</v>
      </c>
      <c r="G129" s="48" t="s">
        <v>43</v>
      </c>
      <c r="H129" s="48">
        <v>0</v>
      </c>
      <c r="I129" s="48">
        <v>49625</v>
      </c>
      <c r="J129" s="48" t="s">
        <v>31</v>
      </c>
      <c r="K129" s="48" t="s">
        <v>31</v>
      </c>
      <c r="L129" s="48" t="s">
        <v>31</v>
      </c>
      <c r="M129" s="48" t="s">
        <v>31</v>
      </c>
      <c r="N129" s="48" t="s">
        <v>117</v>
      </c>
    </row>
    <row r="130" spans="1:14">
      <c r="A130" s="37" t="s">
        <v>118</v>
      </c>
      <c r="B130" s="63">
        <f>B129*100</f>
        <v>10000</v>
      </c>
      <c r="C130" s="48" t="s">
        <v>119</v>
      </c>
      <c r="D130" s="48" t="s">
        <v>41</v>
      </c>
      <c r="E130" s="48" t="s">
        <v>116</v>
      </c>
      <c r="F130" s="48" t="s">
        <v>29</v>
      </c>
      <c r="G130" s="48" t="s">
        <v>43</v>
      </c>
      <c r="H130" s="48">
        <v>0</v>
      </c>
      <c r="I130" s="48">
        <v>4962500</v>
      </c>
      <c r="J130" s="48" t="s">
        <v>31</v>
      </c>
      <c r="K130" s="48" t="s">
        <v>31</v>
      </c>
      <c r="L130" s="48" t="s">
        <v>31</v>
      </c>
      <c r="M130" s="48" t="s">
        <v>31</v>
      </c>
      <c r="N130" s="48" t="s">
        <v>120</v>
      </c>
    </row>
    <row r="131" spans="1:14" s="48" customFormat="1" ht="12.75">
      <c r="A131" s="68" t="s">
        <v>129</v>
      </c>
      <c r="B131" s="63">
        <f>B129*0.5*P7</f>
        <v>150.01500150015002</v>
      </c>
      <c r="C131" s="48" t="s">
        <v>48</v>
      </c>
      <c r="D131" s="48" t="s">
        <v>38</v>
      </c>
      <c r="E131" s="48" t="s">
        <v>29</v>
      </c>
      <c r="F131" s="48" t="s">
        <v>130</v>
      </c>
      <c r="G131" s="48" t="s">
        <v>33</v>
      </c>
      <c r="H131" s="48">
        <v>0</v>
      </c>
      <c r="I131" s="48">
        <f t="shared" ref="I131" si="7">B131</f>
        <v>150.01500150015002</v>
      </c>
      <c r="J131" s="48" t="s">
        <v>31</v>
      </c>
      <c r="K131" s="48" t="s">
        <v>31</v>
      </c>
      <c r="L131" s="48" t="s">
        <v>31</v>
      </c>
      <c r="M131" s="48" t="s">
        <v>31</v>
      </c>
      <c r="N131" s="48" t="s">
        <v>158</v>
      </c>
    </row>
    <row r="132" spans="1:14" ht="15.75">
      <c r="A132" s="50" t="s">
        <v>5</v>
      </c>
      <c r="B132" s="50" t="s">
        <v>143</v>
      </c>
      <c r="C132" s="51"/>
      <c r="D132" s="52"/>
      <c r="E132" s="52"/>
      <c r="F132" s="52"/>
      <c r="G132" s="52"/>
      <c r="H132" s="52"/>
      <c r="I132" s="52"/>
      <c r="J132" s="52"/>
      <c r="K132" s="52"/>
      <c r="L132" s="52"/>
      <c r="M132" s="52"/>
      <c r="N132" s="52"/>
    </row>
    <row r="133" spans="1:14">
      <c r="A133" s="48" t="s">
        <v>7</v>
      </c>
      <c r="B133" s="48" t="s">
        <v>61</v>
      </c>
      <c r="C133" s="48"/>
      <c r="D133" s="48"/>
      <c r="E133" s="48"/>
      <c r="F133" s="48"/>
      <c r="G133" s="48"/>
      <c r="H133" s="48"/>
      <c r="I133" s="48"/>
      <c r="J133" s="48"/>
      <c r="K133" s="48"/>
      <c r="L133" s="48"/>
      <c r="M133" s="48"/>
      <c r="N133" s="48"/>
    </row>
    <row r="134" spans="1:14">
      <c r="A134" s="48" t="s">
        <v>9</v>
      </c>
      <c r="B134" s="48" t="s">
        <v>159</v>
      </c>
      <c r="C134" s="48"/>
      <c r="D134" s="48"/>
      <c r="E134" s="48"/>
      <c r="F134" s="48"/>
      <c r="G134" s="48"/>
      <c r="H134" s="48"/>
      <c r="I134" s="48"/>
      <c r="J134" s="48"/>
      <c r="K134" s="48"/>
      <c r="L134" s="48"/>
      <c r="M134" s="48"/>
      <c r="N134" s="48"/>
    </row>
    <row r="135" spans="1:14">
      <c r="A135" s="48" t="s">
        <v>11</v>
      </c>
      <c r="B135" s="48" t="s">
        <v>160</v>
      </c>
      <c r="C135" s="48"/>
      <c r="D135" s="48"/>
      <c r="E135" s="48"/>
      <c r="F135" s="48"/>
      <c r="G135" s="48"/>
      <c r="H135" s="48"/>
      <c r="I135" s="48"/>
      <c r="J135" s="48"/>
      <c r="K135" s="48"/>
      <c r="L135" s="48"/>
      <c r="M135" s="48"/>
      <c r="N135" s="48"/>
    </row>
    <row r="136" spans="1:14">
      <c r="A136" s="48" t="s">
        <v>13</v>
      </c>
      <c r="B136" s="48" t="s">
        <v>35</v>
      </c>
      <c r="C136" s="48"/>
      <c r="D136" s="48"/>
      <c r="E136" s="48"/>
      <c r="F136" s="48"/>
      <c r="G136" s="48"/>
      <c r="H136" s="48"/>
      <c r="I136" s="48"/>
      <c r="J136" s="48"/>
      <c r="K136" s="48"/>
      <c r="L136" s="48"/>
      <c r="M136" s="48"/>
      <c r="N136" s="48"/>
    </row>
    <row r="137" spans="1:14">
      <c r="A137" s="48" t="s">
        <v>15</v>
      </c>
      <c r="B137" s="37">
        <v>1</v>
      </c>
      <c r="C137" s="48"/>
      <c r="D137" s="48"/>
      <c r="E137" s="48"/>
      <c r="F137" s="48"/>
      <c r="G137" s="48"/>
      <c r="H137" s="48"/>
      <c r="I137" s="48"/>
      <c r="J137" s="48"/>
      <c r="K137" s="48"/>
      <c r="L137" s="48"/>
      <c r="M137" s="48"/>
      <c r="N137" s="48"/>
    </row>
    <row r="138" spans="1:14">
      <c r="A138" s="48" t="s">
        <v>16</v>
      </c>
      <c r="B138" s="48" t="s">
        <v>17</v>
      </c>
      <c r="C138" s="48"/>
      <c r="D138" s="48"/>
      <c r="E138" s="48"/>
      <c r="F138" s="48"/>
      <c r="G138" s="48"/>
      <c r="H138" s="48"/>
      <c r="I138" s="48"/>
      <c r="J138" s="48"/>
      <c r="K138" s="48"/>
      <c r="L138" s="48"/>
      <c r="M138" s="48"/>
      <c r="N138" s="48"/>
    </row>
    <row r="139" spans="1:14">
      <c r="A139" s="48" t="s">
        <v>18</v>
      </c>
      <c r="B139" s="48" t="s">
        <v>18</v>
      </c>
      <c r="C139" s="48"/>
      <c r="D139" s="48"/>
      <c r="E139" s="48"/>
      <c r="F139" s="48"/>
      <c r="G139" s="48"/>
      <c r="H139" s="48"/>
      <c r="I139" s="48"/>
      <c r="J139" s="48"/>
      <c r="K139" s="48"/>
      <c r="L139" s="48"/>
      <c r="M139" s="48"/>
      <c r="N139" s="48"/>
    </row>
    <row r="140" spans="1:14" ht="15.75">
      <c r="A140" s="47" t="s">
        <v>19</v>
      </c>
    </row>
    <row r="141" spans="1:14" ht="15.75">
      <c r="A141" s="47" t="s">
        <v>20</v>
      </c>
      <c r="B141" s="47" t="s">
        <v>21</v>
      </c>
      <c r="C141" s="47" t="s">
        <v>18</v>
      </c>
      <c r="D141" s="47" t="s">
        <v>22</v>
      </c>
      <c r="E141" s="47" t="s">
        <v>7</v>
      </c>
      <c r="F141" s="47" t="s">
        <v>13</v>
      </c>
      <c r="G141" s="47" t="s">
        <v>16</v>
      </c>
      <c r="H141" s="47" t="s">
        <v>23</v>
      </c>
      <c r="I141" s="47" t="s">
        <v>24</v>
      </c>
      <c r="J141" s="47" t="s">
        <v>25</v>
      </c>
      <c r="K141" s="47" t="s">
        <v>26</v>
      </c>
      <c r="L141" s="47" t="s">
        <v>27</v>
      </c>
      <c r="M141" s="47" t="s">
        <v>28</v>
      </c>
      <c r="N141" s="47" t="s">
        <v>70</v>
      </c>
    </row>
    <row r="142" spans="1:14">
      <c r="A142" s="48" t="s">
        <v>143</v>
      </c>
      <c r="B142" s="48">
        <f>B137</f>
        <v>1</v>
      </c>
      <c r="C142" s="48" t="str">
        <f>B139</f>
        <v>unit</v>
      </c>
      <c r="D142" s="48" t="s">
        <v>2</v>
      </c>
      <c r="E142" s="48" t="s">
        <v>29</v>
      </c>
      <c r="F142" s="48" t="str">
        <f>B136</f>
        <v>RER</v>
      </c>
      <c r="G142" s="48" t="s">
        <v>30</v>
      </c>
      <c r="H142" s="48">
        <v>0</v>
      </c>
      <c r="I142" s="48">
        <f>B142</f>
        <v>1</v>
      </c>
      <c r="J142" s="48" t="s">
        <v>31</v>
      </c>
      <c r="K142" s="48" t="s">
        <v>31</v>
      </c>
      <c r="L142" s="48" t="s">
        <v>31</v>
      </c>
      <c r="M142" s="48" t="s">
        <v>31</v>
      </c>
      <c r="N142" s="48"/>
    </row>
    <row r="143" spans="1:14" s="48" customFormat="1" ht="12.75">
      <c r="A143" s="37" t="s">
        <v>127</v>
      </c>
      <c r="B143" s="48">
        <v>98000</v>
      </c>
      <c r="C143" s="48" t="s">
        <v>115</v>
      </c>
      <c r="D143" s="48" t="s">
        <v>41</v>
      </c>
      <c r="E143" s="48" t="s">
        <v>116</v>
      </c>
      <c r="F143" s="48" t="s">
        <v>29</v>
      </c>
      <c r="G143" s="48" t="s">
        <v>43</v>
      </c>
      <c r="H143" s="48">
        <v>0</v>
      </c>
      <c r="I143" s="48">
        <f>B143</f>
        <v>98000</v>
      </c>
      <c r="J143" s="48" t="s">
        <v>31</v>
      </c>
      <c r="K143" s="48" t="s">
        <v>31</v>
      </c>
      <c r="L143" s="48" t="s">
        <v>31</v>
      </c>
      <c r="M143" s="48" t="s">
        <v>31</v>
      </c>
      <c r="N143" s="48" t="s">
        <v>117</v>
      </c>
    </row>
    <row r="144" spans="1:14" s="48" customFormat="1" ht="12.75">
      <c r="A144" s="48" t="s">
        <v>128</v>
      </c>
      <c r="B144" s="48">
        <f>100*B143</f>
        <v>9800000</v>
      </c>
      <c r="C144" s="48" t="s">
        <v>119</v>
      </c>
      <c r="D144" s="48" t="s">
        <v>41</v>
      </c>
      <c r="E144" s="48" t="s">
        <v>116</v>
      </c>
      <c r="F144" s="48" t="s">
        <v>29</v>
      </c>
      <c r="G144" s="48" t="s">
        <v>43</v>
      </c>
      <c r="H144" s="48">
        <v>0</v>
      </c>
      <c r="I144" s="48">
        <f>B144</f>
        <v>9800000</v>
      </c>
      <c r="J144" s="48" t="s">
        <v>31</v>
      </c>
      <c r="K144" s="48" t="s">
        <v>31</v>
      </c>
      <c r="L144" s="48" t="s">
        <v>31</v>
      </c>
      <c r="M144" s="48" t="s">
        <v>31</v>
      </c>
      <c r="N144" s="48" t="s">
        <v>120</v>
      </c>
    </row>
    <row r="145" spans="1:14" s="48" customFormat="1" ht="12.75">
      <c r="A145" s="68" t="s">
        <v>161</v>
      </c>
      <c r="B145" s="63">
        <f>B143*0.22*P7</f>
        <v>64686.468646864683</v>
      </c>
      <c r="C145" s="48" t="s">
        <v>48</v>
      </c>
      <c r="D145" s="48" t="s">
        <v>38</v>
      </c>
      <c r="E145" s="48" t="s">
        <v>29</v>
      </c>
      <c r="F145" s="48" t="s">
        <v>57</v>
      </c>
      <c r="G145" s="48" t="s">
        <v>33</v>
      </c>
      <c r="H145" s="48">
        <v>0</v>
      </c>
      <c r="I145" s="48">
        <f t="shared" ref="I145:I150" si="8">B145</f>
        <v>64686.468646864683</v>
      </c>
      <c r="J145" s="48" t="s">
        <v>31</v>
      </c>
      <c r="K145" s="48" t="s">
        <v>31</v>
      </c>
      <c r="L145" s="48" t="s">
        <v>31</v>
      </c>
      <c r="M145" s="48" t="s">
        <v>31</v>
      </c>
      <c r="N145" s="48" t="s">
        <v>162</v>
      </c>
    </row>
    <row r="146" spans="1:14" s="48" customFormat="1" ht="12.75">
      <c r="A146" s="67" t="s">
        <v>163</v>
      </c>
      <c r="B146" s="48">
        <f>1.8*B143*P7</f>
        <v>529252.92529252928</v>
      </c>
      <c r="C146" s="48" t="s">
        <v>37</v>
      </c>
      <c r="D146" s="48" t="s">
        <v>38</v>
      </c>
      <c r="E146" s="48" t="s">
        <v>29</v>
      </c>
      <c r="F146" s="48" t="s">
        <v>57</v>
      </c>
      <c r="G146" s="48" t="s">
        <v>33</v>
      </c>
      <c r="H146" s="48">
        <v>0</v>
      </c>
      <c r="I146" s="48">
        <f t="shared" si="8"/>
        <v>529252.92529252928</v>
      </c>
      <c r="J146" s="48" t="s">
        <v>31</v>
      </c>
      <c r="K146" s="48" t="s">
        <v>31</v>
      </c>
      <c r="L146" s="48" t="s">
        <v>31</v>
      </c>
      <c r="M146" s="48" t="s">
        <v>31</v>
      </c>
      <c r="N146" s="48" t="s">
        <v>164</v>
      </c>
    </row>
    <row r="147" spans="1:14" s="48" customFormat="1" ht="12.75">
      <c r="A147" s="48" t="s">
        <v>165</v>
      </c>
      <c r="B147" s="48">
        <f>0.4*1600*B143</f>
        <v>62720000</v>
      </c>
      <c r="C147" s="48" t="s">
        <v>37</v>
      </c>
      <c r="D147" s="48" t="s">
        <v>38</v>
      </c>
      <c r="E147" s="48" t="s">
        <v>29</v>
      </c>
      <c r="F147" s="48" t="s">
        <v>166</v>
      </c>
      <c r="G147" s="48" t="s">
        <v>33</v>
      </c>
      <c r="H147" s="48">
        <v>0</v>
      </c>
      <c r="I147" s="48">
        <f t="shared" si="8"/>
        <v>62720000</v>
      </c>
      <c r="J147" s="48" t="s">
        <v>31</v>
      </c>
      <c r="K147" s="48" t="s">
        <v>31</v>
      </c>
      <c r="L147" s="48" t="s">
        <v>31</v>
      </c>
      <c r="M147" s="48" t="s">
        <v>31</v>
      </c>
      <c r="N147" s="48" t="s">
        <v>167</v>
      </c>
    </row>
    <row r="148" spans="1:14" s="48" customFormat="1" ht="12.75">
      <c r="A148" s="48" t="s">
        <v>168</v>
      </c>
      <c r="B148" s="48">
        <f>0.747*B143</f>
        <v>73206</v>
      </c>
      <c r="C148" s="48" t="s">
        <v>48</v>
      </c>
      <c r="D148" s="48" t="s">
        <v>38</v>
      </c>
      <c r="E148" s="48" t="s">
        <v>29</v>
      </c>
      <c r="F148" s="48" t="s">
        <v>35</v>
      </c>
      <c r="G148" s="48" t="s">
        <v>33</v>
      </c>
      <c r="H148" s="48">
        <v>0</v>
      </c>
      <c r="I148" s="48">
        <f t="shared" si="8"/>
        <v>73206</v>
      </c>
      <c r="J148" s="48" t="s">
        <v>31</v>
      </c>
      <c r="K148" s="48" t="s">
        <v>31</v>
      </c>
      <c r="L148" s="48" t="s">
        <v>31</v>
      </c>
      <c r="M148" s="48" t="s">
        <v>31</v>
      </c>
      <c r="N148" s="48" t="s">
        <v>169</v>
      </c>
    </row>
    <row r="149" spans="1:14" s="48" customFormat="1" ht="12.75">
      <c r="A149" s="48" t="s">
        <v>77</v>
      </c>
      <c r="B149" s="48">
        <f>35.7*B143</f>
        <v>3498600.0000000005</v>
      </c>
      <c r="C149" s="48" t="s">
        <v>78</v>
      </c>
      <c r="D149" s="48" t="s">
        <v>38</v>
      </c>
      <c r="E149" s="48" t="s">
        <v>29</v>
      </c>
      <c r="F149" s="48" t="s">
        <v>35</v>
      </c>
      <c r="G149" s="48" t="s">
        <v>33</v>
      </c>
      <c r="H149" s="48">
        <v>0</v>
      </c>
      <c r="I149" s="48">
        <f t="shared" si="8"/>
        <v>3498600.0000000005</v>
      </c>
      <c r="J149" s="48" t="s">
        <v>31</v>
      </c>
      <c r="K149" s="48" t="s">
        <v>31</v>
      </c>
      <c r="L149" s="48" t="s">
        <v>31</v>
      </c>
      <c r="M149" s="48" t="s">
        <v>31</v>
      </c>
      <c r="N149" s="48" t="s">
        <v>170</v>
      </c>
    </row>
    <row r="150" spans="1:14" s="48" customFormat="1" ht="12.75">
      <c r="A150" s="48" t="s">
        <v>171</v>
      </c>
      <c r="B150" s="48">
        <f>250.5*B143</f>
        <v>24549000</v>
      </c>
      <c r="C150" s="48" t="s">
        <v>172</v>
      </c>
      <c r="D150" s="48" t="s">
        <v>38</v>
      </c>
      <c r="E150" s="48" t="s">
        <v>29</v>
      </c>
      <c r="F150" s="48" t="s">
        <v>57</v>
      </c>
      <c r="G150" s="48" t="s">
        <v>33</v>
      </c>
      <c r="H150" s="48">
        <v>0</v>
      </c>
      <c r="I150" s="48">
        <f t="shared" si="8"/>
        <v>24549000</v>
      </c>
      <c r="J150" s="48" t="s">
        <v>31</v>
      </c>
      <c r="K150" s="48" t="s">
        <v>31</v>
      </c>
      <c r="L150" s="48" t="s">
        <v>31</v>
      </c>
      <c r="M150" s="48" t="s">
        <v>31</v>
      </c>
      <c r="N150" s="48" t="s">
        <v>173</v>
      </c>
    </row>
    <row r="151" spans="1:14" s="48" customFormat="1" ht="15.75">
      <c r="A151" s="50" t="s">
        <v>5</v>
      </c>
      <c r="B151" s="50" t="s">
        <v>145</v>
      </c>
      <c r="C151" s="51"/>
      <c r="D151" s="52"/>
      <c r="E151" s="52"/>
      <c r="F151" s="52"/>
      <c r="G151" s="52"/>
      <c r="H151" s="52"/>
      <c r="I151" s="52"/>
      <c r="J151" s="52"/>
      <c r="K151" s="52"/>
      <c r="L151" s="52"/>
      <c r="M151" s="52"/>
      <c r="N151" s="52"/>
    </row>
    <row r="152" spans="1:14" s="48" customFormat="1" ht="12.75">
      <c r="A152" s="48" t="s">
        <v>7</v>
      </c>
      <c r="B152" s="48" t="s">
        <v>61</v>
      </c>
    </row>
    <row r="153" spans="1:14" s="48" customFormat="1" ht="12.75">
      <c r="A153" s="48" t="s">
        <v>9</v>
      </c>
      <c r="B153" s="48" t="s">
        <v>174</v>
      </c>
    </row>
    <row r="154" spans="1:14" s="48" customFormat="1" ht="12.75">
      <c r="A154" s="48" t="s">
        <v>11</v>
      </c>
      <c r="B154" s="48" t="s">
        <v>175</v>
      </c>
    </row>
    <row r="155" spans="1:14" s="48" customFormat="1" ht="12.75">
      <c r="A155" s="48" t="s">
        <v>13</v>
      </c>
      <c r="B155" s="48" t="s">
        <v>35</v>
      </c>
    </row>
    <row r="156" spans="1:14" s="48" customFormat="1" ht="12.75">
      <c r="A156" s="48" t="s">
        <v>15</v>
      </c>
      <c r="B156" s="37">
        <v>1</v>
      </c>
    </row>
    <row r="157" spans="1:14" s="48" customFormat="1" ht="12.75">
      <c r="A157" s="48" t="s">
        <v>16</v>
      </c>
      <c r="B157" s="48" t="s">
        <v>17</v>
      </c>
    </row>
    <row r="158" spans="1:14" s="48" customFormat="1" ht="12.75">
      <c r="A158" s="48" t="s">
        <v>18</v>
      </c>
      <c r="B158" s="48" t="s">
        <v>18</v>
      </c>
    </row>
    <row r="159" spans="1:14" ht="15.75">
      <c r="A159" s="47" t="s">
        <v>19</v>
      </c>
    </row>
    <row r="160" spans="1:14" ht="15.75">
      <c r="A160" s="47" t="s">
        <v>20</v>
      </c>
      <c r="B160" s="47" t="s">
        <v>21</v>
      </c>
      <c r="C160" s="47" t="s">
        <v>18</v>
      </c>
      <c r="D160" s="47" t="s">
        <v>22</v>
      </c>
      <c r="E160" s="47" t="s">
        <v>7</v>
      </c>
      <c r="F160" s="47" t="s">
        <v>13</v>
      </c>
      <c r="G160" s="47" t="s">
        <v>16</v>
      </c>
      <c r="H160" s="47" t="s">
        <v>23</v>
      </c>
      <c r="I160" s="47" t="s">
        <v>24</v>
      </c>
      <c r="J160" s="47" t="s">
        <v>25</v>
      </c>
      <c r="K160" s="47" t="s">
        <v>26</v>
      </c>
      <c r="L160" s="47" t="s">
        <v>27</v>
      </c>
      <c r="M160" s="47" t="s">
        <v>28</v>
      </c>
      <c r="N160" s="47" t="s">
        <v>70</v>
      </c>
    </row>
    <row r="161" spans="1:14">
      <c r="A161" s="48" t="s">
        <v>145</v>
      </c>
      <c r="B161" s="48">
        <f>B156</f>
        <v>1</v>
      </c>
      <c r="C161" s="48" t="str">
        <f>B158</f>
        <v>unit</v>
      </c>
      <c r="D161" s="48" t="s">
        <v>2</v>
      </c>
      <c r="E161" s="48" t="s">
        <v>29</v>
      </c>
      <c r="F161" s="48" t="str">
        <f>B155</f>
        <v>RER</v>
      </c>
      <c r="G161" s="48" t="s">
        <v>30</v>
      </c>
      <c r="H161" s="48">
        <v>0</v>
      </c>
      <c r="I161" s="48">
        <f>B161</f>
        <v>1</v>
      </c>
      <c r="J161" s="48" t="s">
        <v>31</v>
      </c>
      <c r="K161" s="48" t="s">
        <v>31</v>
      </c>
      <c r="L161" s="48" t="s">
        <v>31</v>
      </c>
      <c r="M161" s="48" t="s">
        <v>31</v>
      </c>
      <c r="N161" s="48"/>
    </row>
    <row r="162" spans="1:14">
      <c r="A162" s="37" t="s">
        <v>127</v>
      </c>
      <c r="B162" s="48">
        <v>78720</v>
      </c>
      <c r="C162" s="48" t="s">
        <v>115</v>
      </c>
      <c r="D162" s="48" t="s">
        <v>78</v>
      </c>
      <c r="E162" s="48" t="s">
        <v>116</v>
      </c>
      <c r="F162" s="48" t="s">
        <v>29</v>
      </c>
      <c r="G162" s="48" t="s">
        <v>43</v>
      </c>
      <c r="H162" s="48">
        <v>0</v>
      </c>
      <c r="I162" s="48">
        <f>B162</f>
        <v>78720</v>
      </c>
      <c r="J162" s="48" t="s">
        <v>31</v>
      </c>
      <c r="K162" s="48" t="s">
        <v>31</v>
      </c>
      <c r="L162" s="48" t="s">
        <v>31</v>
      </c>
      <c r="M162" s="48" t="s">
        <v>31</v>
      </c>
      <c r="N162" s="48" t="s">
        <v>117</v>
      </c>
    </row>
    <row r="163" spans="1:14">
      <c r="A163" s="48" t="s">
        <v>128</v>
      </c>
      <c r="B163" s="48">
        <f>100*B162</f>
        <v>7872000</v>
      </c>
      <c r="C163" s="48" t="s">
        <v>119</v>
      </c>
      <c r="D163" s="48" t="s">
        <v>41</v>
      </c>
      <c r="E163" s="48" t="s">
        <v>116</v>
      </c>
      <c r="F163" s="48" t="s">
        <v>29</v>
      </c>
      <c r="G163" s="48" t="s">
        <v>43</v>
      </c>
      <c r="H163" s="48">
        <v>0</v>
      </c>
      <c r="I163" s="48">
        <f>B163</f>
        <v>7872000</v>
      </c>
      <c r="J163" s="48" t="s">
        <v>31</v>
      </c>
      <c r="K163" s="48" t="s">
        <v>31</v>
      </c>
      <c r="L163" s="48" t="s">
        <v>31</v>
      </c>
      <c r="M163" s="48" t="s">
        <v>31</v>
      </c>
      <c r="N163" s="48" t="s">
        <v>120</v>
      </c>
    </row>
    <row r="164" spans="1:14">
      <c r="A164" s="68" t="s">
        <v>161</v>
      </c>
      <c r="B164" s="63">
        <f>B162*0.22*P7</f>
        <v>51960.396039603962</v>
      </c>
      <c r="C164" s="48" t="s">
        <v>48</v>
      </c>
      <c r="D164" s="48" t="s">
        <v>38</v>
      </c>
      <c r="E164" s="48" t="s">
        <v>29</v>
      </c>
      <c r="F164" s="48" t="s">
        <v>57</v>
      </c>
      <c r="G164" s="48" t="s">
        <v>33</v>
      </c>
      <c r="H164" s="48">
        <v>0</v>
      </c>
      <c r="I164" s="48">
        <f t="shared" ref="I164:I169" si="9">B164</f>
        <v>51960.396039603962</v>
      </c>
      <c r="J164" s="48" t="s">
        <v>31</v>
      </c>
      <c r="K164" s="48" t="s">
        <v>31</v>
      </c>
      <c r="L164" s="48" t="s">
        <v>31</v>
      </c>
      <c r="M164" s="48" t="s">
        <v>31</v>
      </c>
      <c r="N164" s="48" t="s">
        <v>162</v>
      </c>
    </row>
    <row r="165" spans="1:14">
      <c r="A165" s="67" t="s">
        <v>163</v>
      </c>
      <c r="B165" s="48">
        <f>1.8*B162*P7</f>
        <v>425130.51305130514</v>
      </c>
      <c r="C165" s="48" t="s">
        <v>37</v>
      </c>
      <c r="D165" s="48" t="s">
        <v>38</v>
      </c>
      <c r="E165" s="48" t="s">
        <v>29</v>
      </c>
      <c r="F165" s="48" t="s">
        <v>57</v>
      </c>
      <c r="G165" s="48" t="s">
        <v>33</v>
      </c>
      <c r="H165" s="48">
        <v>0</v>
      </c>
      <c r="I165" s="48">
        <f t="shared" si="9"/>
        <v>425130.51305130514</v>
      </c>
      <c r="J165" s="48" t="s">
        <v>31</v>
      </c>
      <c r="K165" s="48" t="s">
        <v>31</v>
      </c>
      <c r="L165" s="48" t="s">
        <v>31</v>
      </c>
      <c r="M165" s="48" t="s">
        <v>31</v>
      </c>
      <c r="N165" s="48" t="s">
        <v>176</v>
      </c>
    </row>
    <row r="166" spans="1:14">
      <c r="A166" s="48" t="s">
        <v>165</v>
      </c>
      <c r="B166" s="48">
        <f>0.4*1600*B162</f>
        <v>50380800</v>
      </c>
      <c r="C166" s="48" t="s">
        <v>37</v>
      </c>
      <c r="D166" s="48" t="s">
        <v>38</v>
      </c>
      <c r="E166" s="48" t="s">
        <v>29</v>
      </c>
      <c r="F166" s="48" t="s">
        <v>166</v>
      </c>
      <c r="G166" s="48" t="s">
        <v>33</v>
      </c>
      <c r="H166" s="48">
        <v>0</v>
      </c>
      <c r="I166" s="48">
        <f t="shared" si="9"/>
        <v>50380800</v>
      </c>
      <c r="J166" s="48" t="s">
        <v>31</v>
      </c>
      <c r="K166" s="48" t="s">
        <v>31</v>
      </c>
      <c r="L166" s="48" t="s">
        <v>31</v>
      </c>
      <c r="M166" s="48" t="s">
        <v>31</v>
      </c>
      <c r="N166" s="48" t="s">
        <v>167</v>
      </c>
    </row>
    <row r="167" spans="1:14">
      <c r="A167" s="48" t="s">
        <v>168</v>
      </c>
      <c r="B167" s="48">
        <f>0.747*B162</f>
        <v>58803.839999999997</v>
      </c>
      <c r="C167" s="48" t="s">
        <v>48</v>
      </c>
      <c r="D167" s="48" t="s">
        <v>38</v>
      </c>
      <c r="E167" s="48" t="s">
        <v>29</v>
      </c>
      <c r="F167" s="48" t="s">
        <v>35</v>
      </c>
      <c r="G167" s="48" t="s">
        <v>33</v>
      </c>
      <c r="H167" s="48">
        <v>0</v>
      </c>
      <c r="I167" s="48">
        <f t="shared" si="9"/>
        <v>58803.839999999997</v>
      </c>
      <c r="J167" s="48" t="s">
        <v>31</v>
      </c>
      <c r="K167" s="48" t="s">
        <v>31</v>
      </c>
      <c r="L167" s="48" t="s">
        <v>31</v>
      </c>
      <c r="M167" s="48" t="s">
        <v>31</v>
      </c>
      <c r="N167" s="48" t="s">
        <v>169</v>
      </c>
    </row>
    <row r="168" spans="1:14" s="48" customFormat="1" ht="12.75">
      <c r="A168" s="48" t="s">
        <v>77</v>
      </c>
      <c r="B168" s="48">
        <f>35.7*B162</f>
        <v>2810304</v>
      </c>
      <c r="C168" s="48" t="s">
        <v>78</v>
      </c>
      <c r="D168" s="48" t="s">
        <v>38</v>
      </c>
      <c r="E168" s="48" t="s">
        <v>29</v>
      </c>
      <c r="F168" s="48" t="s">
        <v>35</v>
      </c>
      <c r="G168" s="48" t="s">
        <v>33</v>
      </c>
      <c r="H168" s="48">
        <v>0</v>
      </c>
      <c r="I168" s="48">
        <f t="shared" si="9"/>
        <v>2810304</v>
      </c>
      <c r="J168" s="48" t="s">
        <v>31</v>
      </c>
      <c r="K168" s="48" t="s">
        <v>31</v>
      </c>
      <c r="L168" s="48" t="s">
        <v>31</v>
      </c>
      <c r="M168" s="48" t="s">
        <v>31</v>
      </c>
      <c r="N168" s="48" t="s">
        <v>170</v>
      </c>
    </row>
    <row r="169" spans="1:14" s="48" customFormat="1" ht="12.75">
      <c r="A169" s="48" t="s">
        <v>171</v>
      </c>
      <c r="B169" s="48">
        <f>250.5*B162</f>
        <v>19719360</v>
      </c>
      <c r="C169" s="48" t="s">
        <v>172</v>
      </c>
      <c r="D169" s="48" t="s">
        <v>38</v>
      </c>
      <c r="E169" s="48" t="s">
        <v>29</v>
      </c>
      <c r="F169" s="48" t="s">
        <v>57</v>
      </c>
      <c r="G169" s="48" t="s">
        <v>33</v>
      </c>
      <c r="H169" s="48">
        <v>0</v>
      </c>
      <c r="I169" s="48">
        <f t="shared" si="9"/>
        <v>19719360</v>
      </c>
      <c r="J169" s="48" t="s">
        <v>31</v>
      </c>
      <c r="K169" s="48" t="s">
        <v>31</v>
      </c>
      <c r="L169" s="48" t="s">
        <v>31</v>
      </c>
      <c r="M169" s="48" t="s">
        <v>31</v>
      </c>
      <c r="N169" s="48" t="s">
        <v>173</v>
      </c>
    </row>
    <row r="170" spans="1:14" s="48" customFormat="1" ht="15.75">
      <c r="A170" s="50" t="s">
        <v>5</v>
      </c>
      <c r="B170" s="50" t="s">
        <v>147</v>
      </c>
      <c r="C170" s="51"/>
      <c r="D170" s="52"/>
      <c r="E170" s="52"/>
      <c r="F170" s="52"/>
      <c r="G170" s="52"/>
      <c r="H170" s="52"/>
      <c r="I170" s="52"/>
      <c r="J170" s="52"/>
      <c r="K170" s="52"/>
      <c r="L170" s="52"/>
      <c r="M170" s="52"/>
      <c r="N170" s="52"/>
    </row>
    <row r="171" spans="1:14" s="48" customFormat="1" ht="12.75">
      <c r="A171" s="48" t="s">
        <v>7</v>
      </c>
      <c r="B171" s="48" t="s">
        <v>61</v>
      </c>
    </row>
    <row r="172" spans="1:14" s="48" customFormat="1" ht="12.75">
      <c r="A172" s="48" t="s">
        <v>9</v>
      </c>
      <c r="B172" s="48" t="s">
        <v>177</v>
      </c>
    </row>
    <row r="173" spans="1:14" s="48" customFormat="1" ht="12.75">
      <c r="A173" s="48" t="s">
        <v>11</v>
      </c>
      <c r="B173" s="48" t="s">
        <v>178</v>
      </c>
    </row>
    <row r="174" spans="1:14" s="48" customFormat="1" ht="12.75">
      <c r="A174" s="48" t="s">
        <v>13</v>
      </c>
      <c r="B174" s="48" t="s">
        <v>35</v>
      </c>
    </row>
    <row r="175" spans="1:14" s="48" customFormat="1" ht="12.75">
      <c r="A175" s="48" t="s">
        <v>15</v>
      </c>
      <c r="B175" s="37">
        <v>1</v>
      </c>
    </row>
    <row r="176" spans="1:14" s="48" customFormat="1" ht="12.75">
      <c r="A176" s="48" t="s">
        <v>16</v>
      </c>
      <c r="B176" s="48" t="s">
        <v>17</v>
      </c>
    </row>
    <row r="177" spans="1:14" s="48" customFormat="1" ht="12.75">
      <c r="A177" s="48" t="s">
        <v>18</v>
      </c>
      <c r="B177" s="48" t="s">
        <v>18</v>
      </c>
    </row>
    <row r="178" spans="1:14" ht="15.75">
      <c r="A178" s="47" t="s">
        <v>19</v>
      </c>
    </row>
    <row r="179" spans="1:14" ht="15.75">
      <c r="A179" s="47" t="s">
        <v>20</v>
      </c>
      <c r="B179" s="47" t="s">
        <v>21</v>
      </c>
      <c r="C179" s="47" t="s">
        <v>18</v>
      </c>
      <c r="D179" s="47" t="s">
        <v>22</v>
      </c>
      <c r="E179" s="47" t="s">
        <v>7</v>
      </c>
      <c r="F179" s="47" t="s">
        <v>13</v>
      </c>
      <c r="G179" s="47" t="s">
        <v>16</v>
      </c>
      <c r="H179" s="47" t="s">
        <v>23</v>
      </c>
      <c r="I179" s="47" t="s">
        <v>24</v>
      </c>
      <c r="J179" s="47" t="s">
        <v>25</v>
      </c>
      <c r="K179" s="47" t="s">
        <v>26</v>
      </c>
      <c r="L179" s="47" t="s">
        <v>27</v>
      </c>
      <c r="M179" s="47" t="s">
        <v>28</v>
      </c>
      <c r="N179" s="47" t="s">
        <v>70</v>
      </c>
    </row>
    <row r="180" spans="1:14">
      <c r="A180" s="48" t="s">
        <v>147</v>
      </c>
      <c r="B180" s="48">
        <f>B175</f>
        <v>1</v>
      </c>
      <c r="C180" s="48" t="str">
        <f>B177</f>
        <v>unit</v>
      </c>
      <c r="D180" s="48" t="s">
        <v>2</v>
      </c>
      <c r="E180" s="48" t="s">
        <v>29</v>
      </c>
      <c r="F180" s="48" t="str">
        <f>B174</f>
        <v>RER</v>
      </c>
      <c r="G180" s="48" t="s">
        <v>30</v>
      </c>
      <c r="H180" s="48">
        <v>0</v>
      </c>
      <c r="I180" s="48">
        <f>B180</f>
        <v>1</v>
      </c>
      <c r="J180" s="48" t="s">
        <v>31</v>
      </c>
      <c r="K180" s="48" t="s">
        <v>31</v>
      </c>
      <c r="L180" s="48" t="s">
        <v>31</v>
      </c>
      <c r="M180" s="48" t="s">
        <v>31</v>
      </c>
      <c r="N180" s="48"/>
    </row>
    <row r="181" spans="1:14">
      <c r="A181" s="37" t="s">
        <v>127</v>
      </c>
      <c r="B181" s="48">
        <v>99000</v>
      </c>
      <c r="C181" s="48" t="s">
        <v>115</v>
      </c>
      <c r="D181" s="48" t="s">
        <v>41</v>
      </c>
      <c r="E181" s="48" t="s">
        <v>116</v>
      </c>
      <c r="F181" s="48" t="s">
        <v>29</v>
      </c>
      <c r="G181" s="48" t="s">
        <v>43</v>
      </c>
      <c r="H181" s="48">
        <v>0</v>
      </c>
      <c r="I181" s="48">
        <f>B181</f>
        <v>99000</v>
      </c>
      <c r="J181" s="48" t="s">
        <v>31</v>
      </c>
      <c r="K181" s="48" t="s">
        <v>31</v>
      </c>
      <c r="L181" s="48" t="s">
        <v>31</v>
      </c>
      <c r="M181" s="48" t="s">
        <v>31</v>
      </c>
      <c r="N181" s="48" t="s">
        <v>117</v>
      </c>
    </row>
    <row r="182" spans="1:14">
      <c r="A182" s="48" t="s">
        <v>128</v>
      </c>
      <c r="B182" s="48">
        <f>100*B181</f>
        <v>9900000</v>
      </c>
      <c r="C182" s="48" t="s">
        <v>119</v>
      </c>
      <c r="D182" s="48" t="s">
        <v>41</v>
      </c>
      <c r="E182" s="48" t="s">
        <v>116</v>
      </c>
      <c r="F182" s="48" t="s">
        <v>29</v>
      </c>
      <c r="G182" s="48" t="s">
        <v>43</v>
      </c>
      <c r="H182" s="48">
        <v>0</v>
      </c>
      <c r="I182" s="48">
        <f>B182</f>
        <v>9900000</v>
      </c>
      <c r="J182" s="48" t="s">
        <v>31</v>
      </c>
      <c r="K182" s="48" t="s">
        <v>31</v>
      </c>
      <c r="L182" s="48" t="s">
        <v>31</v>
      </c>
      <c r="M182" s="48" t="s">
        <v>31</v>
      </c>
      <c r="N182" s="48" t="s">
        <v>120</v>
      </c>
    </row>
    <row r="183" spans="1:14">
      <c r="A183" s="68" t="s">
        <v>161</v>
      </c>
      <c r="B183" s="63">
        <f>B181*0.22*P7</f>
        <v>65346.534653465344</v>
      </c>
      <c r="C183" s="48" t="s">
        <v>48</v>
      </c>
      <c r="D183" s="48" t="s">
        <v>38</v>
      </c>
      <c r="E183" s="48" t="s">
        <v>29</v>
      </c>
      <c r="F183" s="48" t="s">
        <v>57</v>
      </c>
      <c r="G183" s="48" t="s">
        <v>33</v>
      </c>
      <c r="H183" s="48">
        <v>0</v>
      </c>
      <c r="I183" s="48">
        <f t="shared" ref="I183:I188" si="10">B183</f>
        <v>65346.534653465344</v>
      </c>
      <c r="J183" s="48" t="s">
        <v>31</v>
      </c>
      <c r="K183" s="48" t="s">
        <v>31</v>
      </c>
      <c r="L183" s="48" t="s">
        <v>31</v>
      </c>
      <c r="M183" s="48" t="s">
        <v>31</v>
      </c>
      <c r="N183" s="48" t="s">
        <v>162</v>
      </c>
    </row>
    <row r="184" spans="1:14">
      <c r="A184" s="67" t="s">
        <v>163</v>
      </c>
      <c r="B184" s="48">
        <f>1.8*B181*P7</f>
        <v>534653.46534653462</v>
      </c>
      <c r="C184" s="48" t="s">
        <v>37</v>
      </c>
      <c r="D184" s="48" t="s">
        <v>38</v>
      </c>
      <c r="E184" s="48" t="s">
        <v>29</v>
      </c>
      <c r="F184" s="48" t="s">
        <v>57</v>
      </c>
      <c r="G184" s="48" t="s">
        <v>33</v>
      </c>
      <c r="H184" s="48">
        <v>0</v>
      </c>
      <c r="I184" s="48">
        <f t="shared" si="10"/>
        <v>534653.46534653462</v>
      </c>
      <c r="J184" s="48" t="s">
        <v>31</v>
      </c>
      <c r="K184" s="48" t="s">
        <v>31</v>
      </c>
      <c r="L184" s="48" t="s">
        <v>31</v>
      </c>
      <c r="M184" s="48" t="s">
        <v>31</v>
      </c>
      <c r="N184" s="48" t="s">
        <v>176</v>
      </c>
    </row>
    <row r="185" spans="1:14">
      <c r="A185" s="48" t="s">
        <v>165</v>
      </c>
      <c r="B185" s="48">
        <f>0.4*1600*B181</f>
        <v>63360000</v>
      </c>
      <c r="C185" s="48" t="s">
        <v>37</v>
      </c>
      <c r="D185" s="48" t="s">
        <v>38</v>
      </c>
      <c r="E185" s="48" t="s">
        <v>29</v>
      </c>
      <c r="F185" s="48" t="s">
        <v>166</v>
      </c>
      <c r="G185" s="48" t="s">
        <v>33</v>
      </c>
      <c r="H185" s="48">
        <v>0</v>
      </c>
      <c r="I185" s="48">
        <f t="shared" si="10"/>
        <v>63360000</v>
      </c>
      <c r="J185" s="48" t="s">
        <v>31</v>
      </c>
      <c r="K185" s="48" t="s">
        <v>31</v>
      </c>
      <c r="L185" s="48" t="s">
        <v>31</v>
      </c>
      <c r="M185" s="48" t="s">
        <v>31</v>
      </c>
      <c r="N185" s="48" t="s">
        <v>167</v>
      </c>
    </row>
    <row r="186" spans="1:14">
      <c r="A186" s="48" t="s">
        <v>168</v>
      </c>
      <c r="B186" s="48">
        <f>0.747*B181</f>
        <v>73953</v>
      </c>
      <c r="C186" s="48" t="s">
        <v>48</v>
      </c>
      <c r="D186" s="48" t="s">
        <v>38</v>
      </c>
      <c r="E186" s="48" t="s">
        <v>29</v>
      </c>
      <c r="F186" s="48" t="s">
        <v>35</v>
      </c>
      <c r="G186" s="48" t="s">
        <v>33</v>
      </c>
      <c r="H186" s="48">
        <v>0</v>
      </c>
      <c r="I186" s="48">
        <f t="shared" si="10"/>
        <v>73953</v>
      </c>
      <c r="J186" s="48" t="s">
        <v>31</v>
      </c>
      <c r="K186" s="48" t="s">
        <v>31</v>
      </c>
      <c r="L186" s="48" t="s">
        <v>31</v>
      </c>
      <c r="M186" s="48" t="s">
        <v>31</v>
      </c>
      <c r="N186" s="48" t="s">
        <v>169</v>
      </c>
    </row>
    <row r="187" spans="1:14" s="48" customFormat="1" ht="12.75">
      <c r="A187" s="48" t="s">
        <v>77</v>
      </c>
      <c r="B187" s="48">
        <f>35.7*B181</f>
        <v>3534300.0000000005</v>
      </c>
      <c r="C187" s="48" t="s">
        <v>78</v>
      </c>
      <c r="D187" s="48" t="s">
        <v>38</v>
      </c>
      <c r="E187" s="48" t="s">
        <v>29</v>
      </c>
      <c r="F187" s="48" t="s">
        <v>35</v>
      </c>
      <c r="G187" s="48" t="s">
        <v>33</v>
      </c>
      <c r="H187" s="48">
        <v>0</v>
      </c>
      <c r="I187" s="48">
        <f t="shared" si="10"/>
        <v>3534300.0000000005</v>
      </c>
      <c r="J187" s="48" t="s">
        <v>31</v>
      </c>
      <c r="K187" s="48" t="s">
        <v>31</v>
      </c>
      <c r="L187" s="48" t="s">
        <v>31</v>
      </c>
      <c r="M187" s="48" t="s">
        <v>31</v>
      </c>
      <c r="N187" s="48" t="s">
        <v>170</v>
      </c>
    </row>
    <row r="188" spans="1:14" s="48" customFormat="1" ht="12.75">
      <c r="A188" s="48" t="s">
        <v>171</v>
      </c>
      <c r="B188" s="48">
        <f>250.5*B181</f>
        <v>24799500</v>
      </c>
      <c r="C188" s="48" t="s">
        <v>172</v>
      </c>
      <c r="D188" s="48" t="s">
        <v>38</v>
      </c>
      <c r="E188" s="48" t="s">
        <v>29</v>
      </c>
      <c r="F188" s="48" t="s">
        <v>57</v>
      </c>
      <c r="G188" s="48" t="s">
        <v>33</v>
      </c>
      <c r="H188" s="48">
        <v>0</v>
      </c>
      <c r="I188" s="48">
        <f t="shared" si="10"/>
        <v>24799500</v>
      </c>
      <c r="J188" s="48" t="s">
        <v>31</v>
      </c>
      <c r="K188" s="48" t="s">
        <v>31</v>
      </c>
      <c r="L188" s="48" t="s">
        <v>31</v>
      </c>
      <c r="M188" s="48" t="s">
        <v>31</v>
      </c>
      <c r="N188" s="48" t="s">
        <v>173</v>
      </c>
    </row>
    <row r="189" spans="1:14" ht="15.75">
      <c r="A189" s="50" t="s">
        <v>5</v>
      </c>
      <c r="B189" s="50" t="s">
        <v>149</v>
      </c>
      <c r="C189" s="51"/>
      <c r="D189" s="52"/>
      <c r="E189" s="52"/>
      <c r="F189" s="52"/>
      <c r="G189" s="52"/>
      <c r="H189" s="52"/>
      <c r="I189" s="52"/>
      <c r="J189" s="52"/>
      <c r="K189" s="52"/>
      <c r="L189" s="52"/>
      <c r="M189" s="52"/>
      <c r="N189" s="52"/>
    </row>
    <row r="190" spans="1:14" s="48" customFormat="1" ht="12.75">
      <c r="A190" s="48" t="s">
        <v>7</v>
      </c>
      <c r="B190" s="48" t="s">
        <v>61</v>
      </c>
    </row>
    <row r="191" spans="1:14" s="48" customFormat="1" ht="12.75">
      <c r="A191" s="48" t="s">
        <v>9</v>
      </c>
      <c r="B191" s="48" t="s">
        <v>179</v>
      </c>
    </row>
    <row r="192" spans="1:14" s="48" customFormat="1" ht="12.75">
      <c r="A192" s="48" t="s">
        <v>11</v>
      </c>
      <c r="B192" s="48" t="s">
        <v>180</v>
      </c>
    </row>
    <row r="193" spans="1:14" s="48" customFormat="1" ht="12.75">
      <c r="A193" s="48" t="s">
        <v>13</v>
      </c>
      <c r="B193" s="48" t="s">
        <v>35</v>
      </c>
    </row>
    <row r="194" spans="1:14" s="48" customFormat="1" ht="12.75">
      <c r="A194" s="48" t="s">
        <v>15</v>
      </c>
      <c r="B194" s="37">
        <v>1</v>
      </c>
    </row>
    <row r="195" spans="1:14" s="48" customFormat="1" ht="12.75">
      <c r="A195" s="48" t="s">
        <v>16</v>
      </c>
      <c r="B195" s="48" t="s">
        <v>17</v>
      </c>
    </row>
    <row r="196" spans="1:14" s="48" customFormat="1" ht="12.75">
      <c r="A196" s="48" t="s">
        <v>18</v>
      </c>
      <c r="B196" s="48" t="s">
        <v>18</v>
      </c>
    </row>
    <row r="197" spans="1:14" ht="15.75">
      <c r="A197" s="47" t="s">
        <v>19</v>
      </c>
    </row>
    <row r="198" spans="1:14" ht="15.75">
      <c r="A198" s="47" t="s">
        <v>20</v>
      </c>
      <c r="B198" s="47" t="s">
        <v>21</v>
      </c>
      <c r="C198" s="47" t="s">
        <v>18</v>
      </c>
      <c r="D198" s="47" t="s">
        <v>22</v>
      </c>
      <c r="E198" s="47" t="s">
        <v>7</v>
      </c>
      <c r="F198" s="47" t="s">
        <v>13</v>
      </c>
      <c r="G198" s="47" t="s">
        <v>16</v>
      </c>
      <c r="H198" s="47" t="s">
        <v>23</v>
      </c>
      <c r="I198" s="47" t="s">
        <v>24</v>
      </c>
      <c r="J198" s="47" t="s">
        <v>25</v>
      </c>
      <c r="K198" s="47" t="s">
        <v>26</v>
      </c>
      <c r="L198" s="47" t="s">
        <v>27</v>
      </c>
      <c r="M198" s="47" t="s">
        <v>28</v>
      </c>
      <c r="N198" s="47" t="s">
        <v>70</v>
      </c>
    </row>
    <row r="199" spans="1:14" s="48" customFormat="1" ht="12.75">
      <c r="A199" s="48" t="s">
        <v>149</v>
      </c>
      <c r="B199" s="48">
        <f>B194</f>
        <v>1</v>
      </c>
      <c r="C199" s="48" t="str">
        <f>B196</f>
        <v>unit</v>
      </c>
      <c r="D199" s="48" t="s">
        <v>2</v>
      </c>
      <c r="E199" s="48" t="s">
        <v>29</v>
      </c>
      <c r="F199" s="48" t="str">
        <f>B193</f>
        <v>RER</v>
      </c>
      <c r="G199" s="48" t="s">
        <v>30</v>
      </c>
      <c r="H199" s="48">
        <v>0</v>
      </c>
      <c r="I199" s="48">
        <f>B199</f>
        <v>1</v>
      </c>
      <c r="J199" s="48" t="s">
        <v>31</v>
      </c>
      <c r="K199" s="48" t="s">
        <v>31</v>
      </c>
      <c r="L199" s="48" t="s">
        <v>31</v>
      </c>
      <c r="M199" s="48" t="s">
        <v>31</v>
      </c>
    </row>
    <row r="200" spans="1:14" s="48" customFormat="1" ht="12.75">
      <c r="A200" s="37" t="s">
        <v>134</v>
      </c>
      <c r="B200" s="63">
        <v>1403948</v>
      </c>
      <c r="C200" s="48" t="s">
        <v>115</v>
      </c>
      <c r="D200" s="48" t="s">
        <v>41</v>
      </c>
      <c r="E200" s="48" t="s">
        <v>116</v>
      </c>
      <c r="F200" s="48" t="s">
        <v>29</v>
      </c>
      <c r="G200" s="48" t="s">
        <v>43</v>
      </c>
      <c r="H200" s="48">
        <v>0</v>
      </c>
      <c r="I200" s="48">
        <f t="shared" ref="I200" si="11">B200</f>
        <v>1403948</v>
      </c>
      <c r="J200" s="48" t="s">
        <v>31</v>
      </c>
      <c r="K200" s="48" t="s">
        <v>31</v>
      </c>
      <c r="L200" s="48" t="s">
        <v>31</v>
      </c>
      <c r="M200" s="48" t="s">
        <v>31</v>
      </c>
      <c r="N200" s="48" t="s">
        <v>117</v>
      </c>
    </row>
    <row r="201" spans="1:14">
      <c r="A201" s="52"/>
      <c r="B201" s="52"/>
      <c r="C201" s="52"/>
      <c r="D201" s="52"/>
      <c r="E201" s="52"/>
      <c r="F201" s="52"/>
      <c r="G201" s="52"/>
      <c r="H201" s="52"/>
      <c r="I201" s="52"/>
      <c r="J201" s="52"/>
      <c r="K201" s="52"/>
      <c r="L201" s="52"/>
      <c r="M201" s="52"/>
      <c r="N201" s="52"/>
    </row>
  </sheetData>
  <mergeCells count="1">
    <mergeCell ref="O3:P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7E30-C178-4162-B6F7-E0E30EA7C8F9}">
  <dimension ref="A1:Q54"/>
  <sheetViews>
    <sheetView workbookViewId="0">
      <selection activeCell="N17" sqref="N17"/>
    </sheetView>
  </sheetViews>
  <sheetFormatPr defaultColWidth="8.85546875" defaultRowHeight="15"/>
  <cols>
    <col min="1" max="1" width="33" style="45" customWidth="1"/>
    <col min="2" max="2" width="20.28515625" style="45" customWidth="1"/>
    <col min="3" max="3" width="10.7109375" style="45" customWidth="1"/>
    <col min="4" max="4" width="33.85546875" style="45" customWidth="1"/>
    <col min="5" max="7" width="12.5703125" style="45" customWidth="1"/>
    <col min="8" max="8" width="17.7109375" style="45" customWidth="1"/>
    <col min="9" max="9" width="13" style="45" customWidth="1"/>
    <col min="10" max="14" width="12" style="45" customWidth="1"/>
    <col min="15" max="15" width="17.7109375" style="45" customWidth="1"/>
    <col min="16" max="16" width="10.42578125" style="45" customWidth="1"/>
    <col min="17" max="16384" width="8.85546875" style="45"/>
  </cols>
  <sheetData>
    <row r="1" spans="1:17">
      <c r="A1" s="45" t="s">
        <v>0</v>
      </c>
      <c r="B1" s="45">
        <v>13</v>
      </c>
      <c r="C1" s="46"/>
    </row>
    <row r="2" spans="1:17" ht="15.75">
      <c r="A2" s="50" t="s">
        <v>5</v>
      </c>
      <c r="B2" s="50" t="s">
        <v>88</v>
      </c>
      <c r="C2" s="51"/>
      <c r="D2" s="52"/>
      <c r="E2" s="52"/>
      <c r="F2" s="52"/>
      <c r="G2" s="52"/>
      <c r="H2" s="52"/>
      <c r="I2" s="52"/>
      <c r="J2" s="52"/>
      <c r="K2" s="52"/>
      <c r="L2" s="52"/>
      <c r="M2" s="52"/>
      <c r="N2" s="52"/>
    </row>
    <row r="3" spans="1:17">
      <c r="A3" s="48" t="s">
        <v>7</v>
      </c>
      <c r="B3" s="48" t="s">
        <v>61</v>
      </c>
      <c r="C3" s="48"/>
      <c r="D3" s="48"/>
      <c r="E3" s="48"/>
      <c r="F3" s="48"/>
      <c r="G3" s="48"/>
      <c r="H3" s="48"/>
      <c r="I3" s="48"/>
      <c r="J3" s="48"/>
      <c r="K3" s="48"/>
      <c r="L3" s="48"/>
      <c r="M3" s="48"/>
      <c r="N3" s="48"/>
      <c r="O3" s="151" t="s">
        <v>62</v>
      </c>
      <c r="P3" s="152"/>
      <c r="Q3" s="153"/>
    </row>
    <row r="4" spans="1:17">
      <c r="A4" s="48" t="s">
        <v>9</v>
      </c>
      <c r="B4" s="48" t="s">
        <v>181</v>
      </c>
      <c r="C4" s="48"/>
      <c r="D4" s="48"/>
      <c r="E4" s="48"/>
      <c r="F4" s="48"/>
      <c r="G4" s="48"/>
      <c r="H4" s="48"/>
      <c r="I4" s="48"/>
      <c r="J4" s="48"/>
      <c r="K4" s="48"/>
      <c r="L4" s="48"/>
      <c r="M4" s="48"/>
      <c r="N4" s="48"/>
      <c r="O4" s="53" t="s">
        <v>64</v>
      </c>
      <c r="P4" s="54" t="s">
        <v>65</v>
      </c>
      <c r="Q4" s="55" t="s">
        <v>66</v>
      </c>
    </row>
    <row r="5" spans="1:17">
      <c r="A5" s="48" t="s">
        <v>11</v>
      </c>
      <c r="B5" s="48" t="s">
        <v>182</v>
      </c>
      <c r="C5" s="48"/>
      <c r="D5" s="48"/>
      <c r="E5" s="48"/>
      <c r="F5" s="48"/>
      <c r="G5" s="48"/>
      <c r="H5" s="48"/>
      <c r="I5" s="48"/>
      <c r="J5" s="48"/>
      <c r="K5" s="48"/>
      <c r="L5" s="48"/>
      <c r="M5" s="48"/>
      <c r="N5" s="48"/>
      <c r="O5" s="56" t="s">
        <v>99</v>
      </c>
      <c r="P5" s="57">
        <v>100</v>
      </c>
      <c r="Q5" s="58">
        <f>P5/P5</f>
        <v>1</v>
      </c>
    </row>
    <row r="6" spans="1:17">
      <c r="A6" s="48" t="s">
        <v>13</v>
      </c>
      <c r="B6" s="48" t="s">
        <v>35</v>
      </c>
      <c r="C6" s="48"/>
      <c r="D6" s="48"/>
      <c r="E6" s="48"/>
      <c r="F6" s="48"/>
      <c r="G6" s="48"/>
      <c r="H6" s="48"/>
      <c r="I6" s="48"/>
      <c r="J6" s="48"/>
      <c r="K6" s="48"/>
      <c r="L6" s="48"/>
      <c r="M6" s="48"/>
      <c r="N6" s="48"/>
      <c r="O6" s="56" t="s">
        <v>143</v>
      </c>
      <c r="P6" s="57">
        <v>33.33</v>
      </c>
      <c r="Q6" s="58">
        <f>P5/P6</f>
        <v>3.0003000300030003</v>
      </c>
    </row>
    <row r="7" spans="1:17">
      <c r="A7" s="48" t="s">
        <v>15</v>
      </c>
      <c r="B7" s="37">
        <v>1</v>
      </c>
      <c r="C7" s="48"/>
      <c r="D7" s="48"/>
      <c r="E7" s="48"/>
      <c r="F7" s="48"/>
      <c r="G7" s="48"/>
      <c r="H7" s="48"/>
      <c r="I7" s="48"/>
      <c r="J7" s="48"/>
      <c r="K7" s="48"/>
      <c r="L7" s="48"/>
      <c r="M7" s="48"/>
      <c r="N7" s="48"/>
      <c r="O7" s="56" t="s">
        <v>145</v>
      </c>
      <c r="P7" s="57">
        <v>33.33</v>
      </c>
      <c r="Q7" s="58">
        <f>P5/P7</f>
        <v>3.0003000300030003</v>
      </c>
    </row>
    <row r="8" spans="1:17">
      <c r="A8" s="48" t="s">
        <v>16</v>
      </c>
      <c r="B8" s="48" t="s">
        <v>17</v>
      </c>
      <c r="C8" s="48"/>
      <c r="D8" s="48"/>
      <c r="E8" s="48"/>
      <c r="F8" s="48"/>
      <c r="G8" s="48"/>
      <c r="H8" s="48"/>
      <c r="I8" s="48"/>
      <c r="J8" s="48"/>
      <c r="K8" s="48"/>
      <c r="L8" s="48"/>
      <c r="M8" s="48"/>
      <c r="N8" s="48"/>
      <c r="O8" s="59" t="s">
        <v>147</v>
      </c>
      <c r="P8" s="60">
        <v>33.33</v>
      </c>
      <c r="Q8" s="61">
        <f>P5/P8</f>
        <v>3.0003000300030003</v>
      </c>
    </row>
    <row r="9" spans="1:17">
      <c r="A9" s="48" t="s">
        <v>18</v>
      </c>
      <c r="B9" s="48" t="s">
        <v>18</v>
      </c>
      <c r="C9" s="48"/>
      <c r="D9" s="48"/>
      <c r="E9" s="48"/>
      <c r="F9" s="48"/>
      <c r="G9" s="48"/>
      <c r="H9" s="48"/>
      <c r="I9" s="48"/>
      <c r="J9" s="48"/>
      <c r="K9" s="48"/>
      <c r="L9" s="48"/>
      <c r="M9" s="48"/>
      <c r="N9" s="48"/>
      <c r="O9" s="37"/>
      <c r="P9" s="48"/>
    </row>
    <row r="10" spans="1:17" ht="15.75">
      <c r="A10" s="47" t="s">
        <v>19</v>
      </c>
      <c r="O10" s="48"/>
      <c r="P10" s="48"/>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c r="A12" s="48" t="s">
        <v>88</v>
      </c>
      <c r="B12" s="48">
        <f>B7</f>
        <v>1</v>
      </c>
      <c r="C12" s="48" t="str">
        <f>B9</f>
        <v>unit</v>
      </c>
      <c r="D12" s="48" t="s">
        <v>2</v>
      </c>
      <c r="E12" s="48" t="s">
        <v>29</v>
      </c>
      <c r="F12" s="48" t="str">
        <f>B6</f>
        <v>RER</v>
      </c>
      <c r="G12" s="48" t="s">
        <v>30</v>
      </c>
      <c r="H12" s="48">
        <v>0</v>
      </c>
      <c r="I12" s="48">
        <f>B12</f>
        <v>1</v>
      </c>
      <c r="J12" s="48"/>
      <c r="K12" s="48"/>
      <c r="L12" s="48"/>
      <c r="M12" s="48"/>
      <c r="N12" s="48"/>
      <c r="O12" s="48"/>
      <c r="P12" s="48"/>
    </row>
    <row r="13" spans="1:17">
      <c r="A13" s="48" t="s">
        <v>183</v>
      </c>
      <c r="B13" s="62">
        <f>1*Q6</f>
        <v>3.0003000300030003</v>
      </c>
      <c r="C13" s="48" t="s">
        <v>18</v>
      </c>
      <c r="D13" s="48" t="s">
        <v>2</v>
      </c>
      <c r="E13" s="48" t="s">
        <v>29</v>
      </c>
      <c r="F13" s="48" t="s">
        <v>35</v>
      </c>
      <c r="G13" s="48" t="s">
        <v>33</v>
      </c>
      <c r="H13" s="48">
        <v>0</v>
      </c>
      <c r="I13" s="48">
        <f>B13</f>
        <v>3.0003000300030003</v>
      </c>
      <c r="J13" s="48" t="s">
        <v>31</v>
      </c>
      <c r="K13" s="48" t="s">
        <v>31</v>
      </c>
      <c r="L13" s="48" t="s">
        <v>31</v>
      </c>
      <c r="M13" s="48" t="s">
        <v>31</v>
      </c>
      <c r="N13" s="48"/>
      <c r="O13" s="48"/>
      <c r="P13" s="48"/>
    </row>
    <row r="14" spans="1:17">
      <c r="A14" s="48" t="s">
        <v>184</v>
      </c>
      <c r="B14" s="62">
        <f t="shared" ref="B14:B15" si="0">1*Q7</f>
        <v>3.0003000300030003</v>
      </c>
      <c r="C14" s="48" t="s">
        <v>18</v>
      </c>
      <c r="D14" s="48" t="s">
        <v>2</v>
      </c>
      <c r="E14" s="48" t="s">
        <v>29</v>
      </c>
      <c r="F14" s="48" t="s">
        <v>35</v>
      </c>
      <c r="G14" s="48" t="s">
        <v>33</v>
      </c>
      <c r="H14" s="48">
        <v>0</v>
      </c>
      <c r="I14" s="48">
        <f t="shared" ref="I14:I15" si="1">B14</f>
        <v>3.0003000300030003</v>
      </c>
      <c r="J14" s="48" t="s">
        <v>31</v>
      </c>
      <c r="K14" s="48" t="s">
        <v>31</v>
      </c>
      <c r="L14" s="48" t="s">
        <v>31</v>
      </c>
      <c r="M14" s="48" t="s">
        <v>31</v>
      </c>
      <c r="N14" s="48"/>
      <c r="O14" s="48"/>
      <c r="P14" s="48"/>
    </row>
    <row r="15" spans="1:17">
      <c r="A15" s="48" t="s">
        <v>185</v>
      </c>
      <c r="B15" s="62">
        <f t="shared" si="0"/>
        <v>3.0003000300030003</v>
      </c>
      <c r="C15" s="48" t="s">
        <v>18</v>
      </c>
      <c r="D15" s="48" t="s">
        <v>2</v>
      </c>
      <c r="E15" s="48" t="s">
        <v>29</v>
      </c>
      <c r="F15" s="48" t="s">
        <v>35</v>
      </c>
      <c r="G15" s="48" t="s">
        <v>33</v>
      </c>
      <c r="H15" s="48">
        <v>0</v>
      </c>
      <c r="I15" s="48">
        <f t="shared" si="1"/>
        <v>3.0003000300030003</v>
      </c>
      <c r="J15" s="48" t="s">
        <v>31</v>
      </c>
      <c r="K15" s="48" t="s">
        <v>31</v>
      </c>
      <c r="L15" s="48" t="s">
        <v>31</v>
      </c>
      <c r="M15" s="48" t="s">
        <v>31</v>
      </c>
      <c r="N15" s="48"/>
      <c r="O15" s="48"/>
      <c r="P15" s="48"/>
    </row>
    <row r="16" spans="1:17" ht="15.75">
      <c r="A16" s="50" t="s">
        <v>5</v>
      </c>
      <c r="B16" s="50" t="s">
        <v>183</v>
      </c>
      <c r="C16" s="51"/>
      <c r="D16" s="52"/>
      <c r="E16" s="52"/>
      <c r="F16" s="52"/>
      <c r="G16" s="52"/>
      <c r="H16" s="52"/>
      <c r="I16" s="52"/>
      <c r="J16" s="52"/>
      <c r="K16" s="52"/>
      <c r="L16" s="52"/>
      <c r="M16" s="52"/>
      <c r="N16" s="52"/>
      <c r="O16" s="48"/>
      <c r="P16" s="48"/>
    </row>
    <row r="17" spans="1:16">
      <c r="A17" s="48" t="s">
        <v>7</v>
      </c>
      <c r="B17" s="48" t="s">
        <v>61</v>
      </c>
      <c r="C17" s="48"/>
      <c r="D17" s="48"/>
      <c r="E17" s="48"/>
      <c r="F17" s="48"/>
      <c r="G17" s="48"/>
      <c r="H17" s="48"/>
      <c r="I17" s="48"/>
      <c r="J17" s="48"/>
      <c r="K17" s="48"/>
      <c r="L17" s="48"/>
      <c r="M17" s="48"/>
      <c r="N17" s="48"/>
      <c r="O17" s="69" t="s">
        <v>186</v>
      </c>
      <c r="P17" s="48"/>
    </row>
    <row r="18" spans="1:16">
      <c r="A18" s="48" t="s">
        <v>9</v>
      </c>
      <c r="B18" s="48" t="s">
        <v>187</v>
      </c>
      <c r="C18" s="48"/>
      <c r="D18" s="48"/>
      <c r="E18" s="48"/>
      <c r="F18" s="48"/>
      <c r="G18" s="48"/>
      <c r="H18" s="48"/>
      <c r="I18" s="48"/>
      <c r="J18" s="48"/>
      <c r="K18" s="48"/>
      <c r="L18" s="48"/>
      <c r="M18" s="48"/>
      <c r="N18" s="48"/>
      <c r="O18" s="70">
        <v>98000</v>
      </c>
      <c r="P18" s="48"/>
    </row>
    <row r="19" spans="1:16">
      <c r="A19" s="48" t="s">
        <v>11</v>
      </c>
      <c r="B19" s="48" t="s">
        <v>188</v>
      </c>
      <c r="C19" s="48"/>
      <c r="D19" s="48"/>
      <c r="E19" s="48"/>
      <c r="F19" s="48"/>
      <c r="G19" s="48"/>
      <c r="H19" s="48"/>
      <c r="I19" s="48"/>
      <c r="J19" s="48"/>
      <c r="K19" s="48"/>
      <c r="L19" s="48"/>
      <c r="M19" s="48"/>
      <c r="N19" s="48"/>
      <c r="O19" s="48"/>
      <c r="P19" s="48"/>
    </row>
    <row r="20" spans="1:16">
      <c r="A20" s="48" t="s">
        <v>13</v>
      </c>
      <c r="B20" s="48" t="s">
        <v>35</v>
      </c>
      <c r="C20" s="48"/>
      <c r="D20" s="48"/>
      <c r="E20" s="48"/>
      <c r="F20" s="48"/>
      <c r="G20" s="48"/>
      <c r="H20" s="48"/>
      <c r="I20" s="48"/>
      <c r="J20" s="48"/>
      <c r="K20" s="48"/>
      <c r="L20" s="48"/>
      <c r="M20" s="48"/>
      <c r="N20" s="48"/>
      <c r="O20" s="48"/>
      <c r="P20" s="48"/>
    </row>
    <row r="21" spans="1:16">
      <c r="A21" s="48" t="s">
        <v>15</v>
      </c>
      <c r="B21" s="37">
        <v>1</v>
      </c>
      <c r="C21" s="48"/>
      <c r="D21" s="48"/>
      <c r="E21" s="48"/>
      <c r="F21" s="48"/>
      <c r="G21" s="48"/>
      <c r="H21" s="48"/>
      <c r="I21" s="48"/>
      <c r="J21" s="48"/>
      <c r="K21" s="48"/>
      <c r="L21" s="48"/>
      <c r="M21" s="48"/>
      <c r="N21" s="48"/>
    </row>
    <row r="22" spans="1:16">
      <c r="A22" s="48" t="s">
        <v>16</v>
      </c>
      <c r="B22" s="48" t="s">
        <v>17</v>
      </c>
      <c r="C22" s="48"/>
      <c r="D22" s="48"/>
      <c r="E22" s="48"/>
      <c r="F22" s="48"/>
      <c r="G22" s="48"/>
      <c r="H22" s="48"/>
      <c r="I22" s="48"/>
      <c r="J22" s="48"/>
      <c r="K22" s="48"/>
      <c r="L22" s="48"/>
      <c r="M22" s="48"/>
      <c r="N22" s="48"/>
    </row>
    <row r="23" spans="1:16">
      <c r="A23" s="48" t="s">
        <v>18</v>
      </c>
      <c r="B23" s="48" t="s">
        <v>18</v>
      </c>
      <c r="C23" s="48"/>
      <c r="D23" s="48"/>
      <c r="E23" s="48"/>
      <c r="F23" s="48"/>
      <c r="G23" s="48"/>
      <c r="H23" s="48"/>
      <c r="I23" s="48"/>
      <c r="J23" s="48"/>
      <c r="K23" s="48"/>
      <c r="L23" s="48"/>
      <c r="M23" s="48"/>
      <c r="N23" s="48"/>
    </row>
    <row r="24" spans="1:16" ht="15.75">
      <c r="A24" s="47" t="s">
        <v>19</v>
      </c>
    </row>
    <row r="25" spans="1:16" ht="15.75">
      <c r="A25" s="47" t="s">
        <v>20</v>
      </c>
      <c r="B25" s="47" t="s">
        <v>21</v>
      </c>
      <c r="C25" s="47" t="s">
        <v>18</v>
      </c>
      <c r="D25" s="47" t="s">
        <v>22</v>
      </c>
      <c r="E25" s="47" t="s">
        <v>7</v>
      </c>
      <c r="F25" s="47" t="s">
        <v>13</v>
      </c>
      <c r="G25" s="47" t="s">
        <v>16</v>
      </c>
      <c r="H25" s="47" t="s">
        <v>23</v>
      </c>
      <c r="I25" s="47" t="s">
        <v>24</v>
      </c>
      <c r="J25" s="47" t="s">
        <v>25</v>
      </c>
      <c r="K25" s="47" t="s">
        <v>26</v>
      </c>
      <c r="L25" s="47" t="s">
        <v>27</v>
      </c>
      <c r="M25" s="47" t="s">
        <v>28</v>
      </c>
      <c r="N25" s="47" t="s">
        <v>70</v>
      </c>
    </row>
    <row r="26" spans="1:16">
      <c r="A26" s="48" t="s">
        <v>183</v>
      </c>
      <c r="B26" s="48">
        <f>B21</f>
        <v>1</v>
      </c>
      <c r="C26" s="48" t="str">
        <f>B23</f>
        <v>unit</v>
      </c>
      <c r="D26" s="48" t="s">
        <v>2</v>
      </c>
      <c r="E26" s="48" t="s">
        <v>29</v>
      </c>
      <c r="F26" s="48" t="str">
        <f>B20</f>
        <v>RER</v>
      </c>
      <c r="G26" s="48" t="s">
        <v>30</v>
      </c>
      <c r="H26" s="48">
        <v>0</v>
      </c>
      <c r="I26" s="48">
        <f>B26</f>
        <v>1</v>
      </c>
      <c r="J26" s="48"/>
      <c r="K26" s="48"/>
      <c r="L26" s="48"/>
      <c r="M26" s="48"/>
      <c r="N26" s="48"/>
    </row>
    <row r="27" spans="1:16">
      <c r="A27" s="48" t="s">
        <v>168</v>
      </c>
      <c r="B27" s="48">
        <f>O18*0.21</f>
        <v>20580</v>
      </c>
      <c r="C27" s="48" t="s">
        <v>48</v>
      </c>
      <c r="D27" s="48" t="s">
        <v>38</v>
      </c>
      <c r="E27" s="48" t="s">
        <v>29</v>
      </c>
      <c r="F27" s="48" t="s">
        <v>35</v>
      </c>
      <c r="G27" s="48" t="s">
        <v>33</v>
      </c>
      <c r="H27" s="48">
        <v>0</v>
      </c>
      <c r="I27" s="48">
        <f t="shared" ref="I27" si="2">B27</f>
        <v>20580</v>
      </c>
      <c r="J27" s="48" t="s">
        <v>31</v>
      </c>
      <c r="K27" s="48" t="s">
        <v>31</v>
      </c>
      <c r="L27" s="48" t="s">
        <v>31</v>
      </c>
      <c r="M27" s="48" t="s">
        <v>31</v>
      </c>
      <c r="N27" s="48" t="s">
        <v>189</v>
      </c>
    </row>
    <row r="28" spans="1:16" s="48" customFormat="1" ht="12.75">
      <c r="A28" s="48" t="s">
        <v>190</v>
      </c>
      <c r="B28" s="48">
        <f>O18*2195.45*(1+0.02)</f>
        <v>219457181.99999997</v>
      </c>
      <c r="C28" s="48" t="s">
        <v>37</v>
      </c>
      <c r="D28" s="48" t="s">
        <v>38</v>
      </c>
      <c r="E28" s="48" t="s">
        <v>29</v>
      </c>
      <c r="F28" s="48" t="s">
        <v>166</v>
      </c>
      <c r="G28" s="48" t="s">
        <v>33</v>
      </c>
      <c r="H28" s="48">
        <v>0</v>
      </c>
      <c r="I28" s="63">
        <f>ABS(B28)</f>
        <v>219457181.99999997</v>
      </c>
      <c r="J28" s="48" t="s">
        <v>31</v>
      </c>
      <c r="K28" s="48" t="s">
        <v>31</v>
      </c>
      <c r="L28" s="48" t="s">
        <v>31</v>
      </c>
      <c r="M28" s="48" t="s">
        <v>31</v>
      </c>
      <c r="N28" s="48" t="s">
        <v>191</v>
      </c>
    </row>
    <row r="29" spans="1:16" ht="15.75">
      <c r="A29" s="50" t="s">
        <v>5</v>
      </c>
      <c r="B29" s="50" t="s">
        <v>184</v>
      </c>
      <c r="C29" s="51"/>
      <c r="D29" s="52"/>
      <c r="E29" s="52"/>
      <c r="F29" s="52"/>
      <c r="G29" s="52"/>
      <c r="H29" s="52"/>
      <c r="I29" s="52"/>
      <c r="J29" s="52"/>
      <c r="K29" s="52"/>
      <c r="L29" s="52"/>
      <c r="M29" s="52"/>
      <c r="N29" s="52"/>
      <c r="O29" s="48"/>
      <c r="P29" s="48"/>
    </row>
    <row r="30" spans="1:16">
      <c r="A30" s="48" t="s">
        <v>7</v>
      </c>
      <c r="B30" s="48" t="s">
        <v>61</v>
      </c>
      <c r="C30" s="48"/>
      <c r="D30" s="48"/>
      <c r="E30" s="48"/>
      <c r="F30" s="48"/>
      <c r="G30" s="48"/>
      <c r="H30" s="48"/>
      <c r="I30" s="48"/>
      <c r="J30" s="48"/>
      <c r="K30" s="48"/>
      <c r="L30" s="48"/>
      <c r="M30" s="48"/>
      <c r="N30" s="48"/>
      <c r="O30" s="69" t="s">
        <v>192</v>
      </c>
      <c r="P30" s="48"/>
    </row>
    <row r="31" spans="1:16">
      <c r="A31" s="48" t="s">
        <v>9</v>
      </c>
      <c r="B31" s="48" t="s">
        <v>193</v>
      </c>
      <c r="C31" s="48"/>
      <c r="D31" s="48"/>
      <c r="E31" s="48"/>
      <c r="F31" s="48"/>
      <c r="G31" s="48"/>
      <c r="H31" s="48"/>
      <c r="I31" s="48"/>
      <c r="J31" s="48"/>
      <c r="K31" s="48"/>
      <c r="L31" s="48"/>
      <c r="M31" s="48"/>
      <c r="N31" s="48"/>
      <c r="O31" s="70">
        <v>78720</v>
      </c>
      <c r="P31" s="48"/>
    </row>
    <row r="32" spans="1:16">
      <c r="A32" s="48" t="s">
        <v>11</v>
      </c>
      <c r="B32" s="48" t="s">
        <v>188</v>
      </c>
      <c r="C32" s="48"/>
      <c r="D32" s="48"/>
      <c r="E32" s="48"/>
      <c r="F32" s="48"/>
      <c r="G32" s="48"/>
      <c r="H32" s="48"/>
      <c r="I32" s="48"/>
      <c r="J32" s="48"/>
      <c r="K32" s="48"/>
      <c r="L32" s="48"/>
      <c r="M32" s="48"/>
      <c r="N32" s="48"/>
      <c r="O32" s="48"/>
      <c r="P32" s="48"/>
    </row>
    <row r="33" spans="1:16">
      <c r="A33" s="48" t="s">
        <v>13</v>
      </c>
      <c r="B33" s="48" t="s">
        <v>35</v>
      </c>
      <c r="C33" s="48"/>
      <c r="D33" s="48"/>
      <c r="E33" s="48"/>
      <c r="F33" s="48"/>
      <c r="G33" s="48"/>
      <c r="H33" s="48"/>
      <c r="I33" s="48"/>
      <c r="J33" s="48"/>
      <c r="K33" s="48"/>
      <c r="L33" s="48"/>
      <c r="M33" s="48"/>
      <c r="N33" s="48"/>
      <c r="O33" s="48"/>
      <c r="P33" s="48"/>
    </row>
    <row r="34" spans="1:16">
      <c r="A34" s="48" t="s">
        <v>15</v>
      </c>
      <c r="B34" s="37">
        <v>1</v>
      </c>
      <c r="C34" s="48"/>
      <c r="D34" s="48"/>
      <c r="E34" s="48"/>
      <c r="F34" s="48"/>
      <c r="G34" s="48"/>
      <c r="H34" s="48"/>
      <c r="I34" s="48"/>
      <c r="J34" s="48"/>
      <c r="K34" s="48"/>
      <c r="L34" s="48"/>
      <c r="M34" s="48"/>
      <c r="N34" s="48"/>
    </row>
    <row r="35" spans="1:16">
      <c r="A35" s="48" t="s">
        <v>16</v>
      </c>
      <c r="B35" s="48" t="s">
        <v>17</v>
      </c>
      <c r="C35" s="48"/>
      <c r="D35" s="48"/>
      <c r="E35" s="48"/>
      <c r="F35" s="48"/>
      <c r="G35" s="48"/>
      <c r="H35" s="48"/>
      <c r="I35" s="48"/>
      <c r="J35" s="48"/>
      <c r="K35" s="48"/>
      <c r="L35" s="48"/>
      <c r="M35" s="48"/>
      <c r="N35" s="48"/>
    </row>
    <row r="36" spans="1:16">
      <c r="A36" s="48" t="s">
        <v>18</v>
      </c>
      <c r="B36" s="48" t="s">
        <v>18</v>
      </c>
      <c r="C36" s="48"/>
      <c r="D36" s="48"/>
      <c r="E36" s="48"/>
      <c r="F36" s="48"/>
      <c r="G36" s="48"/>
      <c r="H36" s="48"/>
      <c r="I36" s="48"/>
      <c r="J36" s="48"/>
      <c r="K36" s="48"/>
      <c r="L36" s="48"/>
      <c r="M36" s="48"/>
      <c r="N36" s="48"/>
    </row>
    <row r="37" spans="1:16" ht="15.75">
      <c r="A37" s="47" t="s">
        <v>19</v>
      </c>
    </row>
    <row r="38" spans="1:16"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6">
      <c r="A39" s="48" t="s">
        <v>184</v>
      </c>
      <c r="B39" s="48">
        <f>B34</f>
        <v>1</v>
      </c>
      <c r="C39" s="48" t="str">
        <f>B36</f>
        <v>unit</v>
      </c>
      <c r="D39" s="48" t="s">
        <v>2</v>
      </c>
      <c r="E39" s="48" t="s">
        <v>29</v>
      </c>
      <c r="F39" s="48" t="str">
        <f>B33</f>
        <v>RER</v>
      </c>
      <c r="G39" s="48" t="s">
        <v>30</v>
      </c>
      <c r="H39" s="48">
        <v>0</v>
      </c>
      <c r="I39" s="48">
        <f>B39</f>
        <v>1</v>
      </c>
      <c r="J39" s="48"/>
      <c r="K39" s="48"/>
      <c r="L39" s="48"/>
      <c r="M39" s="48"/>
      <c r="N39" s="48"/>
    </row>
    <row r="40" spans="1:16">
      <c r="A40" s="48" t="s">
        <v>168</v>
      </c>
      <c r="B40" s="48">
        <f>O31*0.21</f>
        <v>16531.2</v>
      </c>
      <c r="C40" s="48" t="s">
        <v>48</v>
      </c>
      <c r="D40" s="48" t="s">
        <v>38</v>
      </c>
      <c r="E40" s="48" t="s">
        <v>29</v>
      </c>
      <c r="F40" s="48" t="s">
        <v>35</v>
      </c>
      <c r="G40" s="48" t="s">
        <v>33</v>
      </c>
      <c r="H40" s="48">
        <v>0</v>
      </c>
      <c r="I40" s="48">
        <f t="shared" ref="I40" si="3">B40</f>
        <v>16531.2</v>
      </c>
      <c r="J40" s="48" t="s">
        <v>31</v>
      </c>
      <c r="K40" s="48" t="s">
        <v>31</v>
      </c>
      <c r="L40" s="48" t="s">
        <v>31</v>
      </c>
      <c r="M40" s="48" t="s">
        <v>31</v>
      </c>
      <c r="N40" s="48" t="s">
        <v>189</v>
      </c>
    </row>
    <row r="41" spans="1:16" s="48" customFormat="1" ht="12.75">
      <c r="A41" s="48" t="s">
        <v>190</v>
      </c>
      <c r="B41" s="48">
        <f>O31*2195.45*(1+0.02)</f>
        <v>176282340.47999999</v>
      </c>
      <c r="C41" s="48" t="s">
        <v>37</v>
      </c>
      <c r="D41" s="48" t="s">
        <v>38</v>
      </c>
      <c r="E41" s="48" t="s">
        <v>29</v>
      </c>
      <c r="F41" s="48" t="s">
        <v>166</v>
      </c>
      <c r="G41" s="48" t="s">
        <v>33</v>
      </c>
      <c r="H41" s="48">
        <v>0</v>
      </c>
      <c r="I41" s="63">
        <f>ABS(B41)</f>
        <v>176282340.47999999</v>
      </c>
      <c r="J41" s="48" t="s">
        <v>31</v>
      </c>
      <c r="K41" s="48" t="s">
        <v>31</v>
      </c>
      <c r="L41" s="48" t="s">
        <v>31</v>
      </c>
      <c r="M41" s="48" t="s">
        <v>31</v>
      </c>
      <c r="N41" s="48" t="s">
        <v>191</v>
      </c>
    </row>
    <row r="42" spans="1:16" ht="15.75">
      <c r="A42" s="50" t="s">
        <v>5</v>
      </c>
      <c r="B42" s="50" t="s">
        <v>185</v>
      </c>
      <c r="C42" s="51"/>
      <c r="D42" s="52"/>
      <c r="E42" s="52"/>
      <c r="F42" s="52"/>
      <c r="G42" s="52"/>
      <c r="H42" s="52"/>
      <c r="I42" s="52"/>
      <c r="J42" s="52"/>
      <c r="K42" s="52"/>
      <c r="L42" s="52"/>
      <c r="M42" s="52"/>
      <c r="N42" s="52"/>
      <c r="O42" s="48"/>
    </row>
    <row r="43" spans="1:16">
      <c r="A43" s="48" t="s">
        <v>7</v>
      </c>
      <c r="B43" s="48" t="s">
        <v>61</v>
      </c>
      <c r="C43" s="48"/>
      <c r="D43" s="48"/>
      <c r="E43" s="48"/>
      <c r="F43" s="48"/>
      <c r="G43" s="48"/>
      <c r="H43" s="48"/>
      <c r="I43" s="48"/>
      <c r="J43" s="48"/>
      <c r="K43" s="48"/>
      <c r="L43" s="48"/>
      <c r="M43" s="48"/>
      <c r="N43" s="48"/>
      <c r="O43" s="69" t="s">
        <v>194</v>
      </c>
    </row>
    <row r="44" spans="1:16">
      <c r="A44" s="48" t="s">
        <v>9</v>
      </c>
      <c r="B44" s="48" t="s">
        <v>195</v>
      </c>
      <c r="C44" s="48"/>
      <c r="D44" s="48"/>
      <c r="E44" s="48"/>
      <c r="F44" s="48"/>
      <c r="G44" s="48"/>
      <c r="H44" s="48"/>
      <c r="I44" s="48"/>
      <c r="J44" s="48"/>
      <c r="K44" s="48"/>
      <c r="L44" s="48"/>
      <c r="M44" s="48"/>
      <c r="N44" s="48"/>
      <c r="O44" s="70">
        <v>99000</v>
      </c>
    </row>
    <row r="45" spans="1:16">
      <c r="A45" s="48" t="s">
        <v>11</v>
      </c>
      <c r="B45" s="48" t="s">
        <v>188</v>
      </c>
      <c r="C45" s="48"/>
      <c r="D45" s="48"/>
      <c r="E45" s="48"/>
      <c r="F45" s="48"/>
      <c r="G45" s="48"/>
      <c r="H45" s="48"/>
      <c r="I45" s="48"/>
      <c r="J45" s="48"/>
      <c r="K45" s="48"/>
      <c r="L45" s="48"/>
      <c r="M45" s="48"/>
      <c r="N45" s="48"/>
      <c r="O45" s="48"/>
    </row>
    <row r="46" spans="1:16">
      <c r="A46" s="48" t="s">
        <v>13</v>
      </c>
      <c r="B46" s="48" t="s">
        <v>35</v>
      </c>
      <c r="C46" s="48"/>
      <c r="D46" s="48"/>
      <c r="E46" s="48"/>
      <c r="F46" s="48"/>
      <c r="G46" s="48"/>
      <c r="H46" s="48"/>
      <c r="I46" s="48"/>
      <c r="J46" s="48"/>
      <c r="K46" s="48"/>
      <c r="L46" s="48"/>
      <c r="M46" s="48"/>
      <c r="N46" s="48"/>
      <c r="O46" s="48"/>
    </row>
    <row r="47" spans="1:16">
      <c r="A47" s="48" t="s">
        <v>15</v>
      </c>
      <c r="B47" s="37">
        <v>1</v>
      </c>
      <c r="C47" s="48"/>
      <c r="D47" s="48"/>
      <c r="E47" s="48"/>
      <c r="F47" s="48"/>
      <c r="G47" s="48"/>
      <c r="H47" s="48"/>
      <c r="I47" s="48"/>
      <c r="J47" s="48"/>
      <c r="K47" s="48"/>
      <c r="L47" s="48"/>
      <c r="M47" s="48"/>
      <c r="N47" s="48"/>
    </row>
    <row r="48" spans="1:16">
      <c r="A48" s="48" t="s">
        <v>16</v>
      </c>
      <c r="B48" s="48" t="s">
        <v>17</v>
      </c>
      <c r="C48" s="48"/>
      <c r="D48" s="48"/>
      <c r="E48" s="48"/>
      <c r="F48" s="48"/>
      <c r="G48" s="48"/>
      <c r="H48" s="48"/>
      <c r="I48" s="48"/>
      <c r="J48" s="48"/>
      <c r="K48" s="48"/>
      <c r="L48" s="48"/>
      <c r="M48" s="48"/>
      <c r="N48" s="48"/>
    </row>
    <row r="49" spans="1:15">
      <c r="A49" s="48" t="s">
        <v>18</v>
      </c>
      <c r="B49" s="48" t="s">
        <v>18</v>
      </c>
      <c r="C49" s="48"/>
      <c r="D49" s="48"/>
      <c r="E49" s="48"/>
      <c r="F49" s="48"/>
      <c r="G49" s="48"/>
      <c r="H49" s="48"/>
      <c r="I49" s="48"/>
      <c r="J49" s="48"/>
      <c r="K49" s="48"/>
      <c r="L49" s="48"/>
      <c r="M49" s="48"/>
      <c r="N49" s="48"/>
    </row>
    <row r="50" spans="1:15" ht="15.75">
      <c r="A50" s="47" t="s">
        <v>19</v>
      </c>
    </row>
    <row r="51" spans="1:15" ht="15.75">
      <c r="A51" s="47" t="s">
        <v>20</v>
      </c>
      <c r="B51" s="47" t="s">
        <v>21</v>
      </c>
      <c r="C51" s="47" t="s">
        <v>18</v>
      </c>
      <c r="D51" s="47" t="s">
        <v>22</v>
      </c>
      <c r="E51" s="47" t="s">
        <v>7</v>
      </c>
      <c r="F51" s="47" t="s">
        <v>13</v>
      </c>
      <c r="G51" s="47" t="s">
        <v>16</v>
      </c>
      <c r="H51" s="47" t="s">
        <v>23</v>
      </c>
      <c r="I51" s="47" t="s">
        <v>24</v>
      </c>
      <c r="J51" s="47" t="s">
        <v>25</v>
      </c>
      <c r="K51" s="47" t="s">
        <v>26</v>
      </c>
      <c r="L51" s="47" t="s">
        <v>27</v>
      </c>
      <c r="M51" s="47" t="s">
        <v>28</v>
      </c>
      <c r="N51" s="47" t="s">
        <v>70</v>
      </c>
    </row>
    <row r="52" spans="1:15">
      <c r="A52" s="48" t="s">
        <v>185</v>
      </c>
      <c r="B52" s="48">
        <f>B47</f>
        <v>1</v>
      </c>
      <c r="C52" s="48" t="str">
        <f>B49</f>
        <v>unit</v>
      </c>
      <c r="D52" s="48" t="s">
        <v>2</v>
      </c>
      <c r="E52" s="48" t="s">
        <v>29</v>
      </c>
      <c r="F52" s="48" t="str">
        <f>B46</f>
        <v>RER</v>
      </c>
      <c r="G52" s="48" t="s">
        <v>30</v>
      </c>
      <c r="H52" s="48">
        <v>0</v>
      </c>
      <c r="I52" s="48">
        <f>B52</f>
        <v>1</v>
      </c>
      <c r="J52" s="48"/>
      <c r="K52" s="48"/>
      <c r="L52" s="48"/>
      <c r="M52" s="48"/>
      <c r="N52" s="48"/>
    </row>
    <row r="53" spans="1:15">
      <c r="A53" s="48" t="s">
        <v>168</v>
      </c>
      <c r="B53" s="48">
        <f>O44*0.21</f>
        <v>20790</v>
      </c>
      <c r="C53" s="48" t="s">
        <v>48</v>
      </c>
      <c r="D53" s="48" t="s">
        <v>38</v>
      </c>
      <c r="E53" s="48" t="s">
        <v>29</v>
      </c>
      <c r="F53" s="48" t="s">
        <v>35</v>
      </c>
      <c r="G53" s="48" t="s">
        <v>33</v>
      </c>
      <c r="H53" s="48">
        <v>0</v>
      </c>
      <c r="I53" s="48">
        <f t="shared" ref="I53" si="4">B53</f>
        <v>20790</v>
      </c>
      <c r="J53" s="48" t="s">
        <v>31</v>
      </c>
      <c r="K53" s="48" t="s">
        <v>31</v>
      </c>
      <c r="L53" s="48" t="s">
        <v>31</v>
      </c>
      <c r="M53" s="48" t="s">
        <v>31</v>
      </c>
      <c r="N53" s="48" t="s">
        <v>189</v>
      </c>
    </row>
    <row r="54" spans="1:15">
      <c r="A54" s="48" t="s">
        <v>190</v>
      </c>
      <c r="B54" s="48">
        <f>O44*2195.45*(1+0.02)</f>
        <v>221696540.99999997</v>
      </c>
      <c r="C54" s="48" t="s">
        <v>37</v>
      </c>
      <c r="D54" s="48" t="s">
        <v>38</v>
      </c>
      <c r="E54" s="48" t="s">
        <v>29</v>
      </c>
      <c r="F54" s="48" t="s">
        <v>166</v>
      </c>
      <c r="G54" s="48" t="s">
        <v>33</v>
      </c>
      <c r="H54" s="48">
        <v>0</v>
      </c>
      <c r="I54" s="63">
        <f>ABS(B54)</f>
        <v>221696540.99999997</v>
      </c>
      <c r="J54" s="48" t="s">
        <v>31</v>
      </c>
      <c r="K54" s="48" t="s">
        <v>31</v>
      </c>
      <c r="L54" s="48" t="s">
        <v>31</v>
      </c>
      <c r="M54" s="48" t="s">
        <v>31</v>
      </c>
      <c r="N54" s="48" t="s">
        <v>191</v>
      </c>
      <c r="O54" s="48"/>
    </row>
  </sheetData>
  <mergeCells count="1">
    <mergeCell ref="O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D13" sqref="D13"/>
    </sheetView>
  </sheetViews>
  <sheetFormatPr defaultRowHeight="15"/>
  <cols>
    <col min="1" max="1" width="41.42578125" bestFit="1" customWidth="1"/>
    <col min="2" max="2" width="40.7109375" bestFit="1" customWidth="1"/>
    <col min="3" max="3" width="5" bestFit="1" customWidth="1"/>
    <col min="4" max="4" width="28.42578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196</v>
      </c>
      <c r="C3" s="4"/>
      <c r="D3" s="13"/>
      <c r="E3" s="13"/>
      <c r="F3" s="13"/>
      <c r="G3" s="13"/>
      <c r="H3" s="13"/>
      <c r="I3" s="13"/>
      <c r="J3" s="13"/>
      <c r="K3" s="13"/>
      <c r="L3" s="13"/>
      <c r="M3" s="13"/>
    </row>
    <row r="4" spans="1:13">
      <c r="A4" s="12" t="s">
        <v>9</v>
      </c>
      <c r="B4" s="13" t="s">
        <v>197</v>
      </c>
      <c r="C4" s="4"/>
      <c r="D4" s="13"/>
      <c r="E4" s="13"/>
      <c r="F4" s="13"/>
      <c r="G4" s="13"/>
      <c r="H4" s="13"/>
      <c r="I4" s="13"/>
      <c r="J4" s="13"/>
      <c r="K4" s="13"/>
      <c r="L4" s="13"/>
      <c r="M4" s="13"/>
    </row>
    <row r="5" spans="1:13" ht="45">
      <c r="A5" s="12" t="s">
        <v>11</v>
      </c>
      <c r="B5" s="14" t="s">
        <v>198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199</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200</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201</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202</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203</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204</v>
      </c>
      <c r="B18" s="13">
        <v>1</v>
      </c>
      <c r="C18" s="13" t="s">
        <v>18</v>
      </c>
      <c r="D18" s="8" t="s">
        <v>2</v>
      </c>
      <c r="E18" s="13" t="s">
        <v>29</v>
      </c>
      <c r="F18" s="13" t="s">
        <v>57</v>
      </c>
      <c r="G18" s="13" t="s">
        <v>33</v>
      </c>
      <c r="H18" s="13">
        <v>2</v>
      </c>
      <c r="I18" s="13">
        <f t="shared" si="0"/>
        <v>0</v>
      </c>
      <c r="J18" s="13">
        <v>0.4147288270665544</v>
      </c>
      <c r="K18" s="13" t="s">
        <v>31</v>
      </c>
      <c r="L18" s="13" t="s">
        <v>31</v>
      </c>
      <c r="M18" s="13"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C08F-F928-403D-9585-F4A3656F3858}">
  <dimension ref="A1:R17"/>
  <sheetViews>
    <sheetView zoomScale="83" zoomScaleNormal="85" workbookViewId="0">
      <pane xSplit="1" topLeftCell="B1" activePane="topRight" state="frozen"/>
      <selection pane="topRight" activeCell="A12" sqref="A12"/>
      <selection activeCell="D22" sqref="D2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71" t="s">
        <v>205</v>
      </c>
      <c r="D1" s="71"/>
    </row>
    <row r="2" spans="1:18">
      <c r="A2" s="73" t="s">
        <v>5</v>
      </c>
      <c r="B2" t="s">
        <v>56</v>
      </c>
      <c r="N2" s="74"/>
    </row>
    <row r="3" spans="1:18">
      <c r="A3" s="73" t="s">
        <v>7</v>
      </c>
      <c r="B3" t="s">
        <v>206</v>
      </c>
      <c r="N3" s="74"/>
      <c r="R3" s="72"/>
    </row>
    <row r="4" spans="1:18">
      <c r="A4" s="73" t="s">
        <v>9</v>
      </c>
      <c r="B4" t="s">
        <v>207</v>
      </c>
      <c r="N4" s="74"/>
      <c r="R4" s="72"/>
    </row>
    <row r="5" spans="1:18">
      <c r="A5" s="73" t="s">
        <v>11</v>
      </c>
      <c r="B5" t="s">
        <v>208</v>
      </c>
      <c r="N5" s="74"/>
      <c r="R5" s="72"/>
    </row>
    <row r="6" spans="1:18">
      <c r="A6" s="73" t="s">
        <v>13</v>
      </c>
      <c r="B6" t="s">
        <v>57</v>
      </c>
      <c r="N6" s="74"/>
    </row>
    <row r="7" spans="1:18">
      <c r="A7" s="73" t="s">
        <v>15</v>
      </c>
      <c r="B7">
        <v>1</v>
      </c>
      <c r="N7" s="74"/>
    </row>
    <row r="8" spans="1:18">
      <c r="A8" s="75" t="s">
        <v>16</v>
      </c>
      <c r="B8" t="s">
        <v>17</v>
      </c>
      <c r="N8" s="74"/>
    </row>
    <row r="9" spans="1:18">
      <c r="A9" s="75" t="s">
        <v>18</v>
      </c>
      <c r="B9" s="76" t="s">
        <v>37</v>
      </c>
      <c r="C9" s="76"/>
      <c r="D9" s="76"/>
      <c r="E9" s="76"/>
      <c r="F9" s="76"/>
      <c r="G9" s="76"/>
      <c r="H9" s="76"/>
      <c r="I9" s="76"/>
      <c r="J9" s="76"/>
      <c r="K9" s="76"/>
      <c r="L9" s="76"/>
      <c r="M9" s="76"/>
      <c r="N9" s="77"/>
    </row>
    <row r="10" spans="1:18">
      <c r="A10" s="73" t="s">
        <v>19</v>
      </c>
    </row>
    <row r="11" spans="1:18">
      <c r="A11" s="72" t="s">
        <v>20</v>
      </c>
      <c r="B11" t="s">
        <v>21</v>
      </c>
      <c r="C11" t="s">
        <v>18</v>
      </c>
      <c r="D11" s="72" t="s">
        <v>209</v>
      </c>
      <c r="E11" s="29" t="s">
        <v>22</v>
      </c>
      <c r="F11" t="s">
        <v>7</v>
      </c>
      <c r="G11" t="s">
        <v>13</v>
      </c>
      <c r="H11" t="s">
        <v>16</v>
      </c>
      <c r="I11" t="s">
        <v>23</v>
      </c>
      <c r="J11" t="s">
        <v>24</v>
      </c>
      <c r="K11" t="s">
        <v>25</v>
      </c>
      <c r="L11" t="s">
        <v>26</v>
      </c>
      <c r="M11" t="s">
        <v>27</v>
      </c>
      <c r="N11" t="s">
        <v>28</v>
      </c>
    </row>
    <row r="12" spans="1:18">
      <c r="A12" s="73" t="s">
        <v>56</v>
      </c>
      <c r="B12">
        <v>1</v>
      </c>
      <c r="C12" t="s">
        <v>37</v>
      </c>
      <c r="E12" t="s">
        <v>2</v>
      </c>
      <c r="F12" t="s">
        <v>29</v>
      </c>
      <c r="G12" t="s">
        <v>57</v>
      </c>
      <c r="H12" t="s">
        <v>30</v>
      </c>
      <c r="I12">
        <v>1</v>
      </c>
      <c r="J12" t="s">
        <v>31</v>
      </c>
      <c r="K12" t="s">
        <v>31</v>
      </c>
      <c r="L12" t="s">
        <v>31</v>
      </c>
      <c r="M12" t="s">
        <v>31</v>
      </c>
      <c r="N12" t="s">
        <v>31</v>
      </c>
    </row>
    <row r="13" spans="1:18">
      <c r="A13" s="73" t="s">
        <v>46</v>
      </c>
      <c r="B13">
        <v>-3.1</v>
      </c>
      <c r="C13" t="s">
        <v>37</v>
      </c>
      <c r="E13" t="s">
        <v>41</v>
      </c>
      <c r="F13" t="s">
        <v>42</v>
      </c>
      <c r="G13" t="s">
        <v>29</v>
      </c>
      <c r="H13" t="s">
        <v>43</v>
      </c>
      <c r="I13">
        <v>0</v>
      </c>
      <c r="J13" t="s">
        <v>31</v>
      </c>
      <c r="K13" t="s">
        <v>31</v>
      </c>
      <c r="L13" t="s">
        <v>31</v>
      </c>
      <c r="M13" t="s">
        <v>31</v>
      </c>
      <c r="N13" t="s">
        <v>31</v>
      </c>
      <c r="O13" t="s">
        <v>210</v>
      </c>
    </row>
    <row r="14" spans="1:18">
      <c r="A14" t="s">
        <v>211</v>
      </c>
      <c r="B14">
        <v>0.92</v>
      </c>
      <c r="C14" t="s">
        <v>37</v>
      </c>
      <c r="D14" s="72" t="s">
        <v>212</v>
      </c>
      <c r="E14" s="29" t="s">
        <v>38</v>
      </c>
      <c r="F14" t="s">
        <v>29</v>
      </c>
      <c r="G14" t="s">
        <v>213</v>
      </c>
      <c r="H14" t="s">
        <v>33</v>
      </c>
      <c r="I14">
        <v>0</v>
      </c>
      <c r="J14" t="s">
        <v>31</v>
      </c>
      <c r="K14" t="s">
        <v>31</v>
      </c>
      <c r="L14" t="s">
        <v>31</v>
      </c>
      <c r="M14" t="s">
        <v>31</v>
      </c>
      <c r="N14" t="s">
        <v>31</v>
      </c>
      <c r="O14" t="s">
        <v>214</v>
      </c>
    </row>
    <row r="15" spans="1:18">
      <c r="A15" t="s">
        <v>215</v>
      </c>
      <c r="B15">
        <v>2.6666666666666655E-2</v>
      </c>
      <c r="C15" t="s">
        <v>37</v>
      </c>
      <c r="E15" t="s">
        <v>38</v>
      </c>
      <c r="F15" t="s">
        <v>29</v>
      </c>
      <c r="G15" t="s">
        <v>35</v>
      </c>
      <c r="H15" t="s">
        <v>33</v>
      </c>
      <c r="I15">
        <v>0</v>
      </c>
      <c r="J15" t="s">
        <v>31</v>
      </c>
      <c r="K15" t="s">
        <v>31</v>
      </c>
      <c r="L15" t="s">
        <v>31</v>
      </c>
      <c r="M15" t="s">
        <v>31</v>
      </c>
      <c r="N15" t="s">
        <v>31</v>
      </c>
      <c r="O15" t="s">
        <v>216</v>
      </c>
    </row>
    <row r="16" spans="1:18">
      <c r="A16" t="s">
        <v>217</v>
      </c>
      <c r="B16">
        <v>2.6666666666666655E-2</v>
      </c>
      <c r="C16" t="s">
        <v>37</v>
      </c>
      <c r="E16" t="s">
        <v>38</v>
      </c>
      <c r="F16" t="s">
        <v>29</v>
      </c>
      <c r="G16" t="s">
        <v>35</v>
      </c>
      <c r="H16" t="s">
        <v>33</v>
      </c>
      <c r="I16">
        <v>0</v>
      </c>
      <c r="J16" t="s">
        <v>31</v>
      </c>
      <c r="K16" t="s">
        <v>31</v>
      </c>
      <c r="L16" t="s">
        <v>31</v>
      </c>
      <c r="M16" t="s">
        <v>31</v>
      </c>
      <c r="N16" t="s">
        <v>31</v>
      </c>
      <c r="O16" t="s">
        <v>218</v>
      </c>
    </row>
    <row r="17" spans="1:15">
      <c r="A17" t="s">
        <v>219</v>
      </c>
      <c r="B17">
        <v>2.6666666666666655E-2</v>
      </c>
      <c r="C17" t="s">
        <v>37</v>
      </c>
      <c r="E17" t="s">
        <v>38</v>
      </c>
      <c r="F17" t="s">
        <v>29</v>
      </c>
      <c r="G17" t="s">
        <v>35</v>
      </c>
      <c r="H17" t="s">
        <v>33</v>
      </c>
      <c r="I17">
        <v>0</v>
      </c>
      <c r="J17" t="s">
        <v>31</v>
      </c>
      <c r="K17" t="s">
        <v>31</v>
      </c>
      <c r="L17" t="s">
        <v>31</v>
      </c>
      <c r="M17" t="s">
        <v>31</v>
      </c>
      <c r="N17" t="s">
        <v>31</v>
      </c>
      <c r="O17" t="s">
        <v>220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0486-5303-403E-9A46-DE9E55E8511D}">
  <dimension ref="A1:X396"/>
  <sheetViews>
    <sheetView tabSelected="1" topLeftCell="A107" zoomScale="70" zoomScaleNormal="70" workbookViewId="0">
      <selection activeCell="E121" sqref="E121"/>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3" bestFit="1" customWidth="1"/>
    <col min="20" max="20" width="8.7109375" style="23"/>
    <col min="21" max="21" width="9.7109375" style="23" bestFit="1" customWidth="1"/>
    <col min="22" max="22" width="8.7109375" style="23"/>
    <col min="23" max="23" width="8.85546875" style="23" bestFit="1" customWidth="1"/>
    <col min="24" max="24" width="8.7109375" style="23"/>
  </cols>
  <sheetData>
    <row r="1" spans="1:24">
      <c r="A1" t="s">
        <v>0</v>
      </c>
      <c r="B1">
        <v>14</v>
      </c>
      <c r="D1" s="71"/>
      <c r="O1" s="23"/>
      <c r="P1" s="80" t="s">
        <v>221</v>
      </c>
      <c r="Q1" s="81"/>
    </row>
    <row r="2" spans="1:24" s="28" customFormat="1">
      <c r="A2" s="82" t="s">
        <v>5</v>
      </c>
      <c r="B2" s="82" t="s">
        <v>199</v>
      </c>
      <c r="C2" s="82"/>
      <c r="D2" s="26"/>
      <c r="Q2" s="28" t="s">
        <v>222</v>
      </c>
      <c r="S2" s="83"/>
      <c r="T2" s="83"/>
      <c r="U2" s="83"/>
      <c r="V2" s="83"/>
      <c r="W2" s="83"/>
      <c r="X2" s="83"/>
    </row>
    <row r="3" spans="1:24">
      <c r="A3" t="s">
        <v>7</v>
      </c>
      <c r="B3" t="s">
        <v>223</v>
      </c>
      <c r="Q3" t="s">
        <v>222</v>
      </c>
    </row>
    <row r="4" spans="1:24">
      <c r="A4" t="s">
        <v>9</v>
      </c>
      <c r="B4" s="84" t="s">
        <v>224</v>
      </c>
      <c r="C4" s="23"/>
      <c r="Q4" t="s">
        <v>222</v>
      </c>
    </row>
    <row r="5" spans="1:24">
      <c r="A5" t="s">
        <v>11</v>
      </c>
      <c r="B5" t="s">
        <v>225</v>
      </c>
      <c r="Q5" t="s">
        <v>222</v>
      </c>
    </row>
    <row r="6" spans="1:24">
      <c r="A6" t="s">
        <v>13</v>
      </c>
      <c r="B6" t="s">
        <v>14</v>
      </c>
      <c r="Q6" t="s">
        <v>222</v>
      </c>
    </row>
    <row r="7" spans="1:24">
      <c r="A7" t="s">
        <v>15</v>
      </c>
      <c r="B7">
        <v>1</v>
      </c>
      <c r="Q7" t="s">
        <v>222</v>
      </c>
    </row>
    <row r="8" spans="1:24">
      <c r="A8" t="s">
        <v>16</v>
      </c>
      <c r="B8" t="s">
        <v>17</v>
      </c>
      <c r="Q8" t="s">
        <v>222</v>
      </c>
    </row>
    <row r="9" spans="1:24">
      <c r="A9" t="s">
        <v>18</v>
      </c>
      <c r="B9" t="s">
        <v>18</v>
      </c>
      <c r="E9" t="s">
        <v>226</v>
      </c>
      <c r="Q9" t="s">
        <v>222</v>
      </c>
    </row>
    <row r="10" spans="1:24">
      <c r="A10" s="76" t="s">
        <v>19</v>
      </c>
      <c r="Q10" t="s">
        <v>222</v>
      </c>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row>
    <row r="12" spans="1:24">
      <c r="A12" t="s">
        <v>199</v>
      </c>
      <c r="B12">
        <v>1</v>
      </c>
      <c r="D12" t="s">
        <v>18</v>
      </c>
      <c r="E12" t="s">
        <v>2</v>
      </c>
      <c r="F12" t="s">
        <v>29</v>
      </c>
      <c r="G12" t="s">
        <v>14</v>
      </c>
      <c r="H12" t="s">
        <v>30</v>
      </c>
      <c r="I12">
        <v>1</v>
      </c>
      <c r="J12">
        <v>1</v>
      </c>
      <c r="K12" t="s">
        <v>31</v>
      </c>
      <c r="L12" t="s">
        <v>31</v>
      </c>
      <c r="M12" t="s">
        <v>31</v>
      </c>
      <c r="N12" t="s">
        <v>31</v>
      </c>
      <c r="Q12" t="s">
        <v>222</v>
      </c>
    </row>
    <row r="13" spans="1:24">
      <c r="A13" s="45" t="s">
        <v>228</v>
      </c>
      <c r="B13" s="86">
        <v>2</v>
      </c>
      <c r="C13" s="86"/>
      <c r="D13" t="s">
        <v>18</v>
      </c>
      <c r="E13" t="s">
        <v>2</v>
      </c>
      <c r="F13" t="s">
        <v>29</v>
      </c>
      <c r="G13" t="s">
        <v>57</v>
      </c>
      <c r="H13" t="s">
        <v>33</v>
      </c>
      <c r="I13">
        <v>2</v>
      </c>
      <c r="J13">
        <f>LN(ABS(B13))</f>
        <v>0.69314718055994529</v>
      </c>
      <c r="K13" s="87">
        <v>0.4147288270665544</v>
      </c>
      <c r="L13" t="s">
        <v>31</v>
      </c>
      <c r="M13" t="s">
        <v>31</v>
      </c>
      <c r="N13" t="s">
        <v>31</v>
      </c>
      <c r="O13" t="s">
        <v>229</v>
      </c>
      <c r="Q13" t="s">
        <v>222</v>
      </c>
    </row>
    <row r="14" spans="1:24">
      <c r="A14" s="88" t="s">
        <v>230</v>
      </c>
      <c r="B14" s="89">
        <v>2</v>
      </c>
      <c r="C14" s="89"/>
      <c r="D14" t="s">
        <v>18</v>
      </c>
      <c r="E14" t="s">
        <v>2</v>
      </c>
      <c r="F14" t="s">
        <v>29</v>
      </c>
      <c r="G14" t="s">
        <v>57</v>
      </c>
      <c r="H14" t="s">
        <v>33</v>
      </c>
      <c r="I14">
        <v>2</v>
      </c>
      <c r="J14">
        <f t="shared" ref="J14:J29" si="0">LN(ABS(B14))</f>
        <v>0.69314718055994529</v>
      </c>
      <c r="K14" s="87">
        <v>0.4147288270665544</v>
      </c>
      <c r="L14" t="s">
        <v>31</v>
      </c>
      <c r="M14" t="s">
        <v>31</v>
      </c>
      <c r="N14" t="s">
        <v>31</v>
      </c>
      <c r="O14" t="s">
        <v>229</v>
      </c>
      <c r="Q14" t="s">
        <v>222</v>
      </c>
    </row>
    <row r="15" spans="1:24">
      <c r="A15" s="45" t="s">
        <v>231</v>
      </c>
      <c r="B15" s="89">
        <v>2</v>
      </c>
      <c r="C15" s="89"/>
      <c r="D15" t="s">
        <v>18</v>
      </c>
      <c r="E15" t="s">
        <v>2</v>
      </c>
      <c r="F15" t="s">
        <v>29</v>
      </c>
      <c r="G15" t="s">
        <v>57</v>
      </c>
      <c r="H15" t="s">
        <v>33</v>
      </c>
      <c r="I15">
        <v>2</v>
      </c>
      <c r="J15">
        <f t="shared" si="0"/>
        <v>0.69314718055994529</v>
      </c>
      <c r="K15" s="87">
        <v>0.4147288270665544</v>
      </c>
      <c r="L15" t="s">
        <v>31</v>
      </c>
      <c r="M15" t="s">
        <v>31</v>
      </c>
      <c r="N15" t="s">
        <v>31</v>
      </c>
      <c r="O15" t="s">
        <v>229</v>
      </c>
      <c r="Q15" t="s">
        <v>222</v>
      </c>
    </row>
    <row r="16" spans="1:24">
      <c r="A16" s="45" t="s">
        <v>232</v>
      </c>
      <c r="B16" s="89">
        <v>1</v>
      </c>
      <c r="C16" s="89"/>
      <c r="D16" t="s">
        <v>18</v>
      </c>
      <c r="E16" t="s">
        <v>2</v>
      </c>
      <c r="F16" t="s">
        <v>29</v>
      </c>
      <c r="G16" t="s">
        <v>57</v>
      </c>
      <c r="H16" t="s">
        <v>33</v>
      </c>
      <c r="I16">
        <v>2</v>
      </c>
      <c r="J16">
        <f t="shared" si="0"/>
        <v>0</v>
      </c>
      <c r="K16" s="87">
        <v>0.4147288270665544</v>
      </c>
      <c r="L16" t="s">
        <v>31</v>
      </c>
      <c r="M16" t="s">
        <v>31</v>
      </c>
      <c r="N16" t="s">
        <v>31</v>
      </c>
      <c r="O16" t="s">
        <v>229</v>
      </c>
      <c r="Q16" t="s">
        <v>222</v>
      </c>
      <c r="S16" s="85" t="s">
        <v>233</v>
      </c>
    </row>
    <row r="17" spans="1:24">
      <c r="A17" s="29" t="s">
        <v>234</v>
      </c>
      <c r="B17" s="86">
        <v>66235.880545850247</v>
      </c>
      <c r="C17" s="86"/>
      <c r="D17" t="s">
        <v>78</v>
      </c>
      <c r="E17" t="s">
        <v>38</v>
      </c>
      <c r="F17" t="s">
        <v>29</v>
      </c>
      <c r="G17" t="s">
        <v>57</v>
      </c>
      <c r="H17" t="s">
        <v>33</v>
      </c>
      <c r="I17">
        <v>2</v>
      </c>
      <c r="J17">
        <f t="shared" si="0"/>
        <v>11.100977597298133</v>
      </c>
      <c r="K17">
        <v>0.28635642126552707</v>
      </c>
      <c r="L17" t="s">
        <v>31</v>
      </c>
      <c r="M17" t="s">
        <v>31</v>
      </c>
      <c r="N17" t="s">
        <v>31</v>
      </c>
      <c r="Q17" t="s">
        <v>222</v>
      </c>
    </row>
    <row r="18" spans="1:24">
      <c r="A18" s="23" t="s">
        <v>80</v>
      </c>
      <c r="B18" s="89">
        <v>6260.437283405764</v>
      </c>
      <c r="C18" s="89"/>
      <c r="D18" s="23" t="s">
        <v>48</v>
      </c>
      <c r="E18" s="23" t="s">
        <v>38</v>
      </c>
      <c r="F18" s="23" t="s">
        <v>29</v>
      </c>
      <c r="G18" s="23" t="s">
        <v>235</v>
      </c>
      <c r="H18" s="23" t="s">
        <v>33</v>
      </c>
      <c r="I18">
        <v>2</v>
      </c>
      <c r="J18">
        <f t="shared" si="0"/>
        <v>8.7420053152336923</v>
      </c>
      <c r="K18">
        <v>0.28635642126552707</v>
      </c>
      <c r="L18" t="s">
        <v>31</v>
      </c>
      <c r="M18" t="s">
        <v>31</v>
      </c>
      <c r="N18" t="s">
        <v>31</v>
      </c>
      <c r="Q18" t="s">
        <v>222</v>
      </c>
      <c r="R18" s="23"/>
      <c r="S18" s="89">
        <v>66604.149937288646</v>
      </c>
      <c r="T18" s="23" t="s">
        <v>236</v>
      </c>
      <c r="U18" s="23">
        <f>S18/0.277778</f>
        <v>239774.74795444074</v>
      </c>
      <c r="V18" s="23" t="s">
        <v>237</v>
      </c>
      <c r="W18" s="23">
        <f>U18/38.3</f>
        <v>6260.437283405764</v>
      </c>
      <c r="X18" s="23" t="s">
        <v>238</v>
      </c>
    </row>
    <row r="19" spans="1:24">
      <c r="A19" s="29" t="s">
        <v>239</v>
      </c>
      <c r="B19" s="23">
        <v>29924.494610427832</v>
      </c>
      <c r="C19" s="89"/>
      <c r="D19" s="23" t="s">
        <v>172</v>
      </c>
      <c r="E19" s="23" t="s">
        <v>38</v>
      </c>
      <c r="F19" s="23" t="s">
        <v>29</v>
      </c>
      <c r="G19" s="23" t="s">
        <v>57</v>
      </c>
      <c r="H19" s="23" t="s">
        <v>33</v>
      </c>
      <c r="I19">
        <v>2</v>
      </c>
      <c r="J19">
        <f t="shared" si="0"/>
        <v>10.306432641743138</v>
      </c>
      <c r="K19">
        <v>0.28635642126552707</v>
      </c>
      <c r="L19" t="s">
        <v>31</v>
      </c>
      <c r="M19" t="s">
        <v>31</v>
      </c>
      <c r="N19" t="s">
        <v>31</v>
      </c>
      <c r="Q19" t="s">
        <v>222</v>
      </c>
      <c r="R19" s="29"/>
      <c r="S19" s="89">
        <v>8312.3662638954229</v>
      </c>
      <c r="T19" s="23" t="s">
        <v>236</v>
      </c>
      <c r="U19" s="23">
        <f>S19/0.277778</f>
        <v>29924.494610427832</v>
      </c>
      <c r="V19" s="23" t="s">
        <v>237</v>
      </c>
    </row>
    <row r="20" spans="1:24">
      <c r="A20" s="29" t="s">
        <v>73</v>
      </c>
      <c r="B20" s="89">
        <v>1416.2389374001643</v>
      </c>
      <c r="C20" s="89"/>
      <c r="D20" s="23" t="s">
        <v>37</v>
      </c>
      <c r="E20" s="23" t="s">
        <v>38</v>
      </c>
      <c r="F20" s="23" t="s">
        <v>29</v>
      </c>
      <c r="G20" s="23" t="s">
        <v>57</v>
      </c>
      <c r="H20" s="23" t="s">
        <v>33</v>
      </c>
      <c r="I20">
        <v>2</v>
      </c>
      <c r="J20">
        <f t="shared" si="0"/>
        <v>7.2557600011202981</v>
      </c>
      <c r="K20">
        <v>0.28635642126552707</v>
      </c>
      <c r="L20" t="s">
        <v>31</v>
      </c>
      <c r="M20" t="s">
        <v>31</v>
      </c>
      <c r="N20" t="s">
        <v>31</v>
      </c>
      <c r="Q20" t="s">
        <v>222</v>
      </c>
      <c r="R20" s="29"/>
      <c r="S20" s="89">
        <v>17624.3208759808</v>
      </c>
      <c r="T20" s="23" t="s">
        <v>236</v>
      </c>
      <c r="U20" s="23">
        <f>S20/0.277778</f>
        <v>63447.504395527358</v>
      </c>
      <c r="V20" s="23" t="s">
        <v>237</v>
      </c>
      <c r="W20" s="23">
        <f>U20/44.8</f>
        <v>1416.2389374001643</v>
      </c>
      <c r="X20" s="23" t="s">
        <v>240</v>
      </c>
    </row>
    <row r="21" spans="1:24">
      <c r="A21" s="29" t="s">
        <v>36</v>
      </c>
      <c r="B21" s="89">
        <v>2795.838857514354</v>
      </c>
      <c r="C21" s="89"/>
      <c r="D21" s="23" t="s">
        <v>37</v>
      </c>
      <c r="E21" s="23" t="s">
        <v>38</v>
      </c>
      <c r="F21" s="23" t="s">
        <v>29</v>
      </c>
      <c r="G21" s="23" t="s">
        <v>130</v>
      </c>
      <c r="H21" s="23" t="s">
        <v>33</v>
      </c>
      <c r="I21">
        <v>2</v>
      </c>
      <c r="J21">
        <f t="shared" si="0"/>
        <v>7.9358874684719396</v>
      </c>
      <c r="K21">
        <v>0.28635642126552707</v>
      </c>
      <c r="L21" t="s">
        <v>31</v>
      </c>
      <c r="M21" t="s">
        <v>31</v>
      </c>
      <c r="N21" t="s">
        <v>31</v>
      </c>
      <c r="Q21" t="s">
        <v>222</v>
      </c>
      <c r="R21" s="29"/>
      <c r="S21" s="89">
        <v>35879.960708713152</v>
      </c>
      <c r="T21" s="23" t="s">
        <v>236</v>
      </c>
      <c r="U21" s="23">
        <f>S21/0.277778</f>
        <v>129167.75521716315</v>
      </c>
      <c r="V21" s="23" t="s">
        <v>237</v>
      </c>
      <c r="W21" s="23">
        <f>U21/46.2</f>
        <v>2795.838857514354</v>
      </c>
      <c r="X21" s="23" t="s">
        <v>240</v>
      </c>
    </row>
    <row r="22" spans="1:24" s="91" customFormat="1">
      <c r="A22" s="75" t="s">
        <v>56</v>
      </c>
      <c r="B22" s="89">
        <v>17.217775955366992</v>
      </c>
      <c r="C22" s="89"/>
      <c r="D22" s="23" t="s">
        <v>37</v>
      </c>
      <c r="E22" t="s">
        <v>2</v>
      </c>
      <c r="F22" s="23" t="s">
        <v>206</v>
      </c>
      <c r="G22" s="23" t="s">
        <v>57</v>
      </c>
      <c r="H22" s="23" t="s">
        <v>33</v>
      </c>
      <c r="I22" s="23">
        <v>2</v>
      </c>
      <c r="J22" s="23">
        <f t="shared" si="0"/>
        <v>2.8459423359178002</v>
      </c>
      <c r="K22">
        <v>0.28635642126552707</v>
      </c>
      <c r="L22" s="23" t="s">
        <v>31</v>
      </c>
      <c r="M22" s="23" t="s">
        <v>31</v>
      </c>
      <c r="N22" s="23" t="s">
        <v>31</v>
      </c>
      <c r="O22" s="34"/>
      <c r="P22" s="23"/>
      <c r="Q22" t="s">
        <v>222</v>
      </c>
      <c r="R22" s="90"/>
      <c r="S22" s="89">
        <v>210.43965225051707</v>
      </c>
      <c r="T22" s="23" t="s">
        <v>236</v>
      </c>
      <c r="U22" s="23">
        <f>S22/0.277778</f>
        <v>757.58214203614773</v>
      </c>
      <c r="V22" s="23" t="s">
        <v>237</v>
      </c>
      <c r="W22" s="23">
        <f>U22/44</f>
        <v>17.217775955366992</v>
      </c>
      <c r="X22" s="23" t="s">
        <v>240</v>
      </c>
    </row>
    <row r="23" spans="1:24">
      <c r="A23" t="s">
        <v>82</v>
      </c>
      <c r="B23" s="34">
        <f>161.96435225548*997.42788</f>
        <v>161547.76050575663</v>
      </c>
      <c r="C23" s="34"/>
      <c r="D23" t="s">
        <v>37</v>
      </c>
      <c r="E23" t="s">
        <v>38</v>
      </c>
      <c r="F23" t="s">
        <v>29</v>
      </c>
      <c r="G23" t="s">
        <v>57</v>
      </c>
      <c r="H23" t="s">
        <v>33</v>
      </c>
      <c r="I23">
        <v>2</v>
      </c>
      <c r="J23">
        <f t="shared" si="0"/>
        <v>11.992556108610948</v>
      </c>
      <c r="K23">
        <v>0.28635642126552707</v>
      </c>
      <c r="L23" t="s">
        <v>31</v>
      </c>
      <c r="M23" t="s">
        <v>31</v>
      </c>
      <c r="N23" t="s">
        <v>31</v>
      </c>
      <c r="O23" t="s">
        <v>241</v>
      </c>
      <c r="Q23" t="s">
        <v>222</v>
      </c>
    </row>
    <row r="24" spans="1:24">
      <c r="A24" s="33" t="s">
        <v>242</v>
      </c>
      <c r="B24" s="89">
        <v>151.02980270471684</v>
      </c>
      <c r="C24" s="89"/>
      <c r="D24" s="23" t="s">
        <v>48</v>
      </c>
      <c r="E24" s="23" t="s">
        <v>38</v>
      </c>
      <c r="F24" s="23" t="s">
        <v>29</v>
      </c>
      <c r="G24" s="33" t="s">
        <v>130</v>
      </c>
      <c r="H24" s="23" t="s">
        <v>33</v>
      </c>
      <c r="I24">
        <v>2</v>
      </c>
      <c r="J24">
        <f t="shared" si="0"/>
        <v>5.017477186245654</v>
      </c>
      <c r="K24">
        <v>0.28635642126552707</v>
      </c>
      <c r="L24" t="s">
        <v>31</v>
      </c>
      <c r="M24" t="s">
        <v>31</v>
      </c>
      <c r="N24" t="s">
        <v>31</v>
      </c>
      <c r="Q24" t="s">
        <v>222</v>
      </c>
    </row>
    <row r="25" spans="1:24">
      <c r="A25" s="23" t="s">
        <v>243</v>
      </c>
      <c r="B25" s="89">
        <v>3664.8065439427546</v>
      </c>
      <c r="C25" s="89"/>
      <c r="D25" s="23" t="s">
        <v>37</v>
      </c>
      <c r="E25" s="23" t="s">
        <v>38</v>
      </c>
      <c r="F25" s="23" t="s">
        <v>29</v>
      </c>
      <c r="G25" s="23" t="s">
        <v>130</v>
      </c>
      <c r="H25" s="23" t="s">
        <v>33</v>
      </c>
      <c r="I25">
        <v>2</v>
      </c>
      <c r="J25">
        <f t="shared" si="0"/>
        <v>8.2065308281916423</v>
      </c>
      <c r="K25">
        <v>0.28635642126552707</v>
      </c>
      <c r="L25" t="s">
        <v>31</v>
      </c>
      <c r="M25" t="s">
        <v>31</v>
      </c>
      <c r="N25" t="s">
        <v>31</v>
      </c>
      <c r="O25" s="92" t="s">
        <v>244</v>
      </c>
      <c r="Q25" t="s">
        <v>222</v>
      </c>
    </row>
    <row r="26" spans="1:24" ht="15.75" customHeight="1">
      <c r="A26" t="s">
        <v>46</v>
      </c>
      <c r="B26" s="86">
        <v>68852.118912541744</v>
      </c>
      <c r="C26" s="86"/>
      <c r="D26" t="s">
        <v>37</v>
      </c>
      <c r="E26" t="s">
        <v>41</v>
      </c>
      <c r="F26" t="s">
        <v>42</v>
      </c>
      <c r="G26" t="s">
        <v>29</v>
      </c>
      <c r="H26" t="s">
        <v>43</v>
      </c>
      <c r="I26">
        <v>2</v>
      </c>
      <c r="J26">
        <f t="shared" si="0"/>
        <v>11.139716279464524</v>
      </c>
      <c r="K26">
        <v>0.28635642126552707</v>
      </c>
      <c r="L26" t="s">
        <v>31</v>
      </c>
      <c r="M26" t="s">
        <v>31</v>
      </c>
      <c r="N26" t="s">
        <v>31</v>
      </c>
      <c r="Q26" t="s">
        <v>222</v>
      </c>
    </row>
    <row r="27" spans="1:24">
      <c r="A27" t="s">
        <v>49</v>
      </c>
      <c r="B27" s="86">
        <v>0.73653878287680974</v>
      </c>
      <c r="C27" s="86"/>
      <c r="D27" t="s">
        <v>37</v>
      </c>
      <c r="E27" t="s">
        <v>41</v>
      </c>
      <c r="F27" t="s">
        <v>42</v>
      </c>
      <c r="G27" t="s">
        <v>29</v>
      </c>
      <c r="H27" t="s">
        <v>43</v>
      </c>
      <c r="I27">
        <v>2</v>
      </c>
      <c r="J27">
        <f t="shared" si="0"/>
        <v>-0.30579338611309176</v>
      </c>
      <c r="K27">
        <v>0.28635642126552707</v>
      </c>
      <c r="L27" t="s">
        <v>31</v>
      </c>
      <c r="M27" t="s">
        <v>31</v>
      </c>
      <c r="N27" t="s">
        <v>31</v>
      </c>
      <c r="Q27" t="s">
        <v>222</v>
      </c>
    </row>
    <row r="28" spans="1:24">
      <c r="A28" t="s">
        <v>40</v>
      </c>
      <c r="B28">
        <v>11.679400699903695</v>
      </c>
      <c r="D28" t="s">
        <v>37</v>
      </c>
      <c r="E28" t="s">
        <v>41</v>
      </c>
      <c r="F28" t="s">
        <v>42</v>
      </c>
      <c r="G28" t="s">
        <v>29</v>
      </c>
      <c r="H28" t="s">
        <v>43</v>
      </c>
      <c r="I28">
        <v>2</v>
      </c>
      <c r="J28">
        <f t="shared" si="0"/>
        <v>2.4578266661439288</v>
      </c>
      <c r="K28">
        <v>0.28635642126552707</v>
      </c>
      <c r="L28" t="s">
        <v>31</v>
      </c>
      <c r="M28" t="s">
        <v>31</v>
      </c>
      <c r="N28" t="s">
        <v>31</v>
      </c>
      <c r="Q28" t="s">
        <v>222</v>
      </c>
    </row>
    <row r="29" spans="1:24">
      <c r="A29" t="s">
        <v>245</v>
      </c>
      <c r="B29">
        <v>55.293018628823354</v>
      </c>
      <c r="D29" t="s">
        <v>37</v>
      </c>
      <c r="E29" t="s">
        <v>41</v>
      </c>
      <c r="F29" t="s">
        <v>42</v>
      </c>
      <c r="G29" t="s">
        <v>29</v>
      </c>
      <c r="H29" t="s">
        <v>43</v>
      </c>
      <c r="I29">
        <v>2</v>
      </c>
      <c r="J29">
        <f t="shared" si="0"/>
        <v>4.0126466551486004</v>
      </c>
      <c r="K29">
        <v>0.28635642126552707</v>
      </c>
      <c r="L29" t="s">
        <v>31</v>
      </c>
      <c r="M29" t="s">
        <v>31</v>
      </c>
      <c r="N29" t="s">
        <v>31</v>
      </c>
      <c r="Q29" t="s">
        <v>222</v>
      </c>
    </row>
    <row r="30" spans="1:24" s="28" customFormat="1">
      <c r="A30" s="82" t="s">
        <v>5</v>
      </c>
      <c r="B30" s="82" t="s">
        <v>228</v>
      </c>
      <c r="C30" s="82"/>
      <c r="D30" s="26"/>
      <c r="Q30" s="28" t="s">
        <v>222</v>
      </c>
      <c r="S30" s="83"/>
      <c r="T30" s="83"/>
      <c r="U30" s="83"/>
      <c r="V30" s="83"/>
      <c r="W30" s="83"/>
      <c r="X30" s="83"/>
    </row>
    <row r="31" spans="1:24">
      <c r="A31" t="s">
        <v>7</v>
      </c>
      <c r="B31" t="s">
        <v>223</v>
      </c>
      <c r="Q31" t="s">
        <v>222</v>
      </c>
    </row>
    <row r="32" spans="1:24">
      <c r="A32" t="s">
        <v>9</v>
      </c>
      <c r="B32" s="84" t="s">
        <v>246</v>
      </c>
      <c r="C32" s="23"/>
      <c r="Q32" t="s">
        <v>222</v>
      </c>
    </row>
    <row r="33" spans="1:24">
      <c r="A33" t="s">
        <v>11</v>
      </c>
      <c r="B33" t="s">
        <v>247</v>
      </c>
      <c r="Q33" t="s">
        <v>222</v>
      </c>
    </row>
    <row r="34" spans="1:24">
      <c r="A34" t="s">
        <v>13</v>
      </c>
      <c r="B34" t="s">
        <v>57</v>
      </c>
      <c r="Q34" t="s">
        <v>222</v>
      </c>
    </row>
    <row r="35" spans="1:24">
      <c r="A35" t="s">
        <v>15</v>
      </c>
      <c r="B35">
        <v>1</v>
      </c>
      <c r="Q35" t="s">
        <v>222</v>
      </c>
    </row>
    <row r="36" spans="1:24">
      <c r="A36" t="s">
        <v>16</v>
      </c>
      <c r="B36" t="s">
        <v>17</v>
      </c>
      <c r="Q36" t="s">
        <v>222</v>
      </c>
    </row>
    <row r="37" spans="1:24">
      <c r="A37" t="s">
        <v>18</v>
      </c>
      <c r="B37" t="s">
        <v>18</v>
      </c>
      <c r="E37" t="s">
        <v>226</v>
      </c>
      <c r="Q37" t="s">
        <v>222</v>
      </c>
    </row>
    <row r="38" spans="1:24">
      <c r="A38" s="76" t="s">
        <v>19</v>
      </c>
      <c r="Q38" t="s">
        <v>222</v>
      </c>
    </row>
    <row r="39" spans="1:24">
      <c r="A39" s="76" t="s">
        <v>20</v>
      </c>
      <c r="B39" s="76" t="s">
        <v>21</v>
      </c>
      <c r="C39" s="76" t="s">
        <v>209</v>
      </c>
      <c r="D39" s="76" t="s">
        <v>18</v>
      </c>
      <c r="E39" s="76" t="s">
        <v>22</v>
      </c>
      <c r="F39" s="76" t="s">
        <v>7</v>
      </c>
      <c r="G39" s="76" t="s">
        <v>13</v>
      </c>
      <c r="H39" s="76" t="s">
        <v>16</v>
      </c>
      <c r="I39" s="76" t="s">
        <v>23</v>
      </c>
      <c r="J39" s="76" t="s">
        <v>24</v>
      </c>
      <c r="K39" s="76" t="s">
        <v>25</v>
      </c>
      <c r="L39" s="76" t="s">
        <v>26</v>
      </c>
      <c r="M39" s="76" t="s">
        <v>27</v>
      </c>
      <c r="N39" s="76" t="s">
        <v>28</v>
      </c>
      <c r="O39" s="76" t="s">
        <v>11</v>
      </c>
      <c r="P39" s="85" t="s">
        <v>227</v>
      </c>
      <c r="Q39" t="s">
        <v>222</v>
      </c>
    </row>
    <row r="40" spans="1:24">
      <c r="A40" t="s">
        <v>228</v>
      </c>
      <c r="B40">
        <v>1</v>
      </c>
      <c r="D40" t="s">
        <v>18</v>
      </c>
      <c r="E40" t="s">
        <v>2</v>
      </c>
      <c r="F40" t="s">
        <v>29</v>
      </c>
      <c r="G40" t="s">
        <v>57</v>
      </c>
      <c r="H40" t="s">
        <v>30</v>
      </c>
      <c r="I40">
        <v>1</v>
      </c>
      <c r="J40">
        <v>1</v>
      </c>
      <c r="K40" t="s">
        <v>31</v>
      </c>
      <c r="L40" t="s">
        <v>31</v>
      </c>
      <c r="M40" t="s">
        <v>31</v>
      </c>
      <c r="N40" t="s">
        <v>31</v>
      </c>
      <c r="Q40" t="s">
        <v>222</v>
      </c>
    </row>
    <row r="41" spans="1:24">
      <c r="A41" t="s">
        <v>248</v>
      </c>
      <c r="B41">
        <v>1</v>
      </c>
      <c r="D41" t="s">
        <v>18</v>
      </c>
      <c r="E41" t="s">
        <v>2</v>
      </c>
      <c r="F41" t="s">
        <v>29</v>
      </c>
      <c r="G41" t="s">
        <v>57</v>
      </c>
      <c r="H41" t="s">
        <v>33</v>
      </c>
      <c r="I41">
        <v>2</v>
      </c>
      <c r="J41">
        <f t="shared" ref="J41:J55" si="1">LN(B41)</f>
        <v>0</v>
      </c>
      <c r="K41" s="87">
        <v>0.4147288270665544</v>
      </c>
      <c r="L41" t="s">
        <v>31</v>
      </c>
      <c r="M41" t="s">
        <v>31</v>
      </c>
      <c r="N41" t="s">
        <v>31</v>
      </c>
      <c r="O41" t="s">
        <v>229</v>
      </c>
      <c r="Q41" t="s">
        <v>222</v>
      </c>
    </row>
    <row r="42" spans="1:24">
      <c r="A42" t="s">
        <v>249</v>
      </c>
      <c r="B42">
        <v>1</v>
      </c>
      <c r="D42" t="s">
        <v>18</v>
      </c>
      <c r="E42" t="s">
        <v>2</v>
      </c>
      <c r="F42" t="s">
        <v>29</v>
      </c>
      <c r="G42" t="s">
        <v>57</v>
      </c>
      <c r="H42" t="s">
        <v>33</v>
      </c>
      <c r="I42">
        <v>2</v>
      </c>
      <c r="J42">
        <f t="shared" si="1"/>
        <v>0</v>
      </c>
      <c r="K42" s="87">
        <v>0.4147288270665544</v>
      </c>
      <c r="L42" t="s">
        <v>31</v>
      </c>
      <c r="M42" t="s">
        <v>31</v>
      </c>
      <c r="N42" t="s">
        <v>31</v>
      </c>
      <c r="O42" t="s">
        <v>229</v>
      </c>
      <c r="Q42" t="s">
        <v>222</v>
      </c>
      <c r="S42" s="85" t="s">
        <v>233</v>
      </c>
    </row>
    <row r="43" spans="1:24">
      <c r="A43" t="s">
        <v>77</v>
      </c>
      <c r="B43" s="86">
        <v>13099.743192445769</v>
      </c>
      <c r="C43" s="86"/>
      <c r="D43" t="s">
        <v>78</v>
      </c>
      <c r="E43" s="23" t="s">
        <v>38</v>
      </c>
      <c r="F43" s="23" t="s">
        <v>29</v>
      </c>
      <c r="G43" s="23" t="s">
        <v>57</v>
      </c>
      <c r="H43" s="23" t="s">
        <v>33</v>
      </c>
      <c r="I43" s="23">
        <v>2</v>
      </c>
      <c r="J43">
        <f t="shared" si="1"/>
        <v>9.4803479053669957</v>
      </c>
      <c r="K43">
        <v>0.28635642126552707</v>
      </c>
      <c r="L43" t="s">
        <v>31</v>
      </c>
      <c r="M43" t="s">
        <v>31</v>
      </c>
      <c r="N43" t="s">
        <v>31</v>
      </c>
      <c r="Q43" t="s">
        <v>222</v>
      </c>
    </row>
    <row r="44" spans="1:24">
      <c r="A44" s="23" t="s">
        <v>80</v>
      </c>
      <c r="B44" s="86">
        <v>1238.1524939229689</v>
      </c>
      <c r="C44" s="86"/>
      <c r="D44" s="23" t="s">
        <v>48</v>
      </c>
      <c r="E44" s="23" t="s">
        <v>38</v>
      </c>
      <c r="F44" s="23" t="s">
        <v>29</v>
      </c>
      <c r="G44" s="23" t="s">
        <v>235</v>
      </c>
      <c r="H44" s="23" t="s">
        <v>33</v>
      </c>
      <c r="I44" s="23">
        <v>2</v>
      </c>
      <c r="J44">
        <f t="shared" si="1"/>
        <v>7.1213756233025531</v>
      </c>
      <c r="K44">
        <v>0.28635642126552707</v>
      </c>
      <c r="L44" t="s">
        <v>31</v>
      </c>
      <c r="M44" t="s">
        <v>31</v>
      </c>
      <c r="N44" t="s">
        <v>31</v>
      </c>
      <c r="Q44" t="s">
        <v>222</v>
      </c>
      <c r="R44" s="23"/>
      <c r="S44" s="89">
        <v>13172.577348400589</v>
      </c>
      <c r="T44" s="23" t="s">
        <v>236</v>
      </c>
      <c r="U44" s="23">
        <f>S44/0.277778</f>
        <v>47421.240517249702</v>
      </c>
      <c r="V44" s="23" t="s">
        <v>237</v>
      </c>
      <c r="W44" s="23">
        <f>U44/38.3</f>
        <v>1238.1524939229689</v>
      </c>
      <c r="X44" s="23" t="s">
        <v>238</v>
      </c>
    </row>
    <row r="45" spans="1:24">
      <c r="A45" s="29" t="s">
        <v>239</v>
      </c>
      <c r="B45" s="86">
        <v>5918.2906806678147</v>
      </c>
      <c r="C45" s="86"/>
      <c r="D45" s="23" t="s">
        <v>172</v>
      </c>
      <c r="E45" s="23" t="s">
        <v>38</v>
      </c>
      <c r="F45" s="23" t="s">
        <v>29</v>
      </c>
      <c r="G45" s="23" t="s">
        <v>57</v>
      </c>
      <c r="H45" s="23" t="s">
        <v>33</v>
      </c>
      <c r="I45" s="23">
        <v>2</v>
      </c>
      <c r="J45">
        <f t="shared" si="1"/>
        <v>8.6858029498119986</v>
      </c>
      <c r="K45">
        <v>0.28635642126552707</v>
      </c>
      <c r="L45" t="s">
        <v>31</v>
      </c>
      <c r="M45" t="s">
        <v>31</v>
      </c>
      <c r="N45" t="s">
        <v>31</v>
      </c>
      <c r="Q45" t="s">
        <v>222</v>
      </c>
      <c r="R45" s="29"/>
      <c r="S45" s="89">
        <v>1643.9709486945444</v>
      </c>
      <c r="T45" s="23" t="s">
        <v>236</v>
      </c>
      <c r="U45" s="23">
        <f>S45/0.277778</f>
        <v>5918.2906806678147</v>
      </c>
      <c r="V45" s="23" t="s">
        <v>237</v>
      </c>
    </row>
    <row r="46" spans="1:24">
      <c r="A46" s="29" t="s">
        <v>73</v>
      </c>
      <c r="B46" s="86">
        <v>280.09541393870336</v>
      </c>
      <c r="C46" s="86"/>
      <c r="D46" s="23" t="s">
        <v>37</v>
      </c>
      <c r="E46" s="23" t="s">
        <v>38</v>
      </c>
      <c r="F46" s="23" t="s">
        <v>29</v>
      </c>
      <c r="G46" s="23" t="s">
        <v>57</v>
      </c>
      <c r="H46" s="23" t="s">
        <v>33</v>
      </c>
      <c r="I46" s="23">
        <v>2</v>
      </c>
      <c r="J46">
        <f t="shared" si="1"/>
        <v>5.6351303091891589</v>
      </c>
      <c r="K46">
        <v>0.28635642126552707</v>
      </c>
      <c r="L46" t="s">
        <v>31</v>
      </c>
      <c r="M46" t="s">
        <v>31</v>
      </c>
      <c r="N46" t="s">
        <v>31</v>
      </c>
      <c r="Q46" t="s">
        <v>222</v>
      </c>
      <c r="R46" s="29"/>
      <c r="S46" s="89">
        <v>3485.6346064093186</v>
      </c>
      <c r="T46" s="23" t="s">
        <v>236</v>
      </c>
      <c r="U46" s="23">
        <f>S46/0.277778</f>
        <v>12548.27454445391</v>
      </c>
      <c r="V46" s="23" t="s">
        <v>237</v>
      </c>
      <c r="W46" s="23">
        <f>U46/44.8</f>
        <v>280.09541393870336</v>
      </c>
      <c r="X46" s="23" t="s">
        <v>240</v>
      </c>
    </row>
    <row r="47" spans="1:24">
      <c r="A47" s="29" t="s">
        <v>36</v>
      </c>
      <c r="B47" s="86">
        <v>552.94457836257448</v>
      </c>
      <c r="C47" s="86"/>
      <c r="D47" s="23" t="s">
        <v>37</v>
      </c>
      <c r="E47" s="23" t="s">
        <v>38</v>
      </c>
      <c r="F47" s="23" t="s">
        <v>29</v>
      </c>
      <c r="G47" s="23" t="s">
        <v>130</v>
      </c>
      <c r="H47" s="23" t="s">
        <v>33</v>
      </c>
      <c r="I47" s="23">
        <v>2</v>
      </c>
      <c r="J47">
        <f t="shared" si="1"/>
        <v>6.3152577765408013</v>
      </c>
      <c r="K47">
        <v>0.28635642126552707</v>
      </c>
      <c r="L47" t="s">
        <v>31</v>
      </c>
      <c r="M47" t="s">
        <v>31</v>
      </c>
      <c r="N47" t="s">
        <v>31</v>
      </c>
      <c r="Q47" t="s">
        <v>222</v>
      </c>
      <c r="R47" s="29"/>
      <c r="S47" s="89">
        <v>7096.1277658840454</v>
      </c>
      <c r="T47" s="23" t="s">
        <v>236</v>
      </c>
      <c r="U47" s="23">
        <f>S47/0.277778</f>
        <v>25546.039520350943</v>
      </c>
      <c r="V47" s="23" t="s">
        <v>237</v>
      </c>
      <c r="W47" s="23">
        <f>U47/46.2</f>
        <v>552.94457836257448</v>
      </c>
      <c r="X47" s="23" t="s">
        <v>240</v>
      </c>
    </row>
    <row r="48" spans="1:24" s="91" customFormat="1">
      <c r="A48" s="73" t="s">
        <v>56</v>
      </c>
      <c r="B48" s="89">
        <v>3.4052305412357966</v>
      </c>
      <c r="C48" s="89"/>
      <c r="D48" s="23" t="s">
        <v>37</v>
      </c>
      <c r="E48" t="s">
        <v>2</v>
      </c>
      <c r="F48" s="23" t="s">
        <v>206</v>
      </c>
      <c r="G48" s="23" t="s">
        <v>57</v>
      </c>
      <c r="H48" s="23" t="s">
        <v>33</v>
      </c>
      <c r="I48" s="23">
        <v>2</v>
      </c>
      <c r="J48" s="23">
        <f t="shared" si="1"/>
        <v>1.2253126439866617</v>
      </c>
      <c r="K48">
        <v>0.28635642126552707</v>
      </c>
      <c r="L48" s="23" t="s">
        <v>31</v>
      </c>
      <c r="M48" s="23" t="s">
        <v>31</v>
      </c>
      <c r="N48" s="23" t="s">
        <v>31</v>
      </c>
      <c r="O48" s="90"/>
      <c r="Q48" t="s">
        <v>222</v>
      </c>
      <c r="R48" s="90"/>
      <c r="S48" s="89">
        <v>41.619517688469479</v>
      </c>
      <c r="T48" s="23" t="s">
        <v>236</v>
      </c>
      <c r="U48" s="23">
        <f>S48/0.277778</f>
        <v>149.83014381437505</v>
      </c>
      <c r="V48" s="23" t="s">
        <v>237</v>
      </c>
      <c r="W48" s="23">
        <f>U48/44</f>
        <v>3.4052305412357966</v>
      </c>
      <c r="X48" s="23" t="s">
        <v>240</v>
      </c>
    </row>
    <row r="49" spans="1:24">
      <c r="A49" t="s">
        <v>82</v>
      </c>
      <c r="B49" s="86">
        <f>32.0323577401363*997.42788</f>
        <v>31949.966672145736</v>
      </c>
      <c r="C49" s="86"/>
      <c r="D49" t="s">
        <v>37</v>
      </c>
      <c r="E49" t="s">
        <v>38</v>
      </c>
      <c r="F49" t="s">
        <v>29</v>
      </c>
      <c r="G49" t="s">
        <v>57</v>
      </c>
      <c r="H49" t="s">
        <v>33</v>
      </c>
      <c r="I49" s="23">
        <v>2</v>
      </c>
      <c r="J49">
        <f t="shared" si="1"/>
        <v>10.371926416679807</v>
      </c>
      <c r="K49">
        <v>0.28635642126552707</v>
      </c>
      <c r="L49" t="s">
        <v>31</v>
      </c>
      <c r="M49" t="s">
        <v>31</v>
      </c>
      <c r="N49" t="s">
        <v>31</v>
      </c>
      <c r="O49" t="s">
        <v>241</v>
      </c>
      <c r="Q49" t="s">
        <v>222</v>
      </c>
    </row>
    <row r="50" spans="1:24">
      <c r="A50" s="33" t="s">
        <v>242</v>
      </c>
      <c r="B50" s="89">
        <v>29.869786791284596</v>
      </c>
      <c r="C50" s="89"/>
      <c r="D50" s="23" t="s">
        <v>48</v>
      </c>
      <c r="E50" s="23" t="s">
        <v>38</v>
      </c>
      <c r="F50" s="23" t="s">
        <v>29</v>
      </c>
      <c r="G50" s="33" t="s">
        <v>130</v>
      </c>
      <c r="H50" s="23" t="s">
        <v>33</v>
      </c>
      <c r="I50" s="23">
        <v>2</v>
      </c>
      <c r="J50">
        <f t="shared" si="1"/>
        <v>3.3968474943145153</v>
      </c>
      <c r="K50">
        <v>0.28635642126552707</v>
      </c>
      <c r="L50" t="s">
        <v>31</v>
      </c>
      <c r="M50" t="s">
        <v>31</v>
      </c>
      <c r="N50" t="s">
        <v>31</v>
      </c>
      <c r="Q50" t="s">
        <v>222</v>
      </c>
    </row>
    <row r="51" spans="1:24">
      <c r="A51" s="23" t="s">
        <v>243</v>
      </c>
      <c r="B51" s="89">
        <v>950.89025936854796</v>
      </c>
      <c r="C51" s="89"/>
      <c r="D51" s="23" t="s">
        <v>37</v>
      </c>
      <c r="E51" s="23" t="s">
        <v>38</v>
      </c>
      <c r="F51" s="23" t="s">
        <v>29</v>
      </c>
      <c r="G51" s="23" t="s">
        <v>130</v>
      </c>
      <c r="H51" s="23" t="s">
        <v>33</v>
      </c>
      <c r="I51" s="23">
        <v>2</v>
      </c>
      <c r="J51">
        <f t="shared" si="1"/>
        <v>6.857398660901123</v>
      </c>
      <c r="K51">
        <v>0.28635642126552707</v>
      </c>
      <c r="L51" t="s">
        <v>31</v>
      </c>
      <c r="M51" t="s">
        <v>31</v>
      </c>
      <c r="N51" t="s">
        <v>31</v>
      </c>
      <c r="Q51" t="s">
        <v>222</v>
      </c>
    </row>
    <row r="52" spans="1:24">
      <c r="A52" t="s">
        <v>46</v>
      </c>
      <c r="B52" s="86">
        <v>17864.738131684473</v>
      </c>
      <c r="C52" s="86"/>
      <c r="D52" t="s">
        <v>37</v>
      </c>
      <c r="E52" t="s">
        <v>41</v>
      </c>
      <c r="F52" t="s">
        <v>42</v>
      </c>
      <c r="G52" t="s">
        <v>29</v>
      </c>
      <c r="H52" t="s">
        <v>43</v>
      </c>
      <c r="I52" s="23">
        <v>2</v>
      </c>
      <c r="J52">
        <f t="shared" si="1"/>
        <v>9.790584112174006</v>
      </c>
      <c r="K52">
        <v>0.28635642126552707</v>
      </c>
      <c r="L52" t="s">
        <v>31</v>
      </c>
      <c r="M52" t="s">
        <v>31</v>
      </c>
      <c r="N52" t="s">
        <v>31</v>
      </c>
      <c r="Q52" t="s">
        <v>222</v>
      </c>
    </row>
    <row r="53" spans="1:24">
      <c r="A53" t="s">
        <v>49</v>
      </c>
      <c r="B53" s="86">
        <v>0.1911062823881664</v>
      </c>
      <c r="C53" s="86"/>
      <c r="D53" t="s">
        <v>37</v>
      </c>
      <c r="E53" t="s">
        <v>41</v>
      </c>
      <c r="F53" t="s">
        <v>42</v>
      </c>
      <c r="G53" t="s">
        <v>29</v>
      </c>
      <c r="H53" t="s">
        <v>43</v>
      </c>
      <c r="I53" s="23">
        <v>2</v>
      </c>
      <c r="J53">
        <f t="shared" si="1"/>
        <v>-1.6549255534036109</v>
      </c>
      <c r="K53">
        <v>0.28635642126552707</v>
      </c>
      <c r="L53" t="s">
        <v>31</v>
      </c>
      <c r="M53" t="s">
        <v>31</v>
      </c>
      <c r="N53" t="s">
        <v>31</v>
      </c>
      <c r="Q53" t="s">
        <v>222</v>
      </c>
    </row>
    <row r="54" spans="1:24">
      <c r="A54" t="s">
        <v>40</v>
      </c>
      <c r="B54">
        <v>3.0303996207266382</v>
      </c>
      <c r="D54" t="s">
        <v>37</v>
      </c>
      <c r="E54" t="s">
        <v>41</v>
      </c>
      <c r="F54" t="s">
        <v>42</v>
      </c>
      <c r="G54" t="s">
        <v>29</v>
      </c>
      <c r="H54" t="s">
        <v>43</v>
      </c>
      <c r="I54" s="23">
        <v>2</v>
      </c>
      <c r="J54">
        <f t="shared" si="1"/>
        <v>1.1086944988534098</v>
      </c>
      <c r="K54">
        <v>0.28635642126552707</v>
      </c>
      <c r="L54" t="s">
        <v>31</v>
      </c>
      <c r="M54" t="s">
        <v>31</v>
      </c>
      <c r="N54" t="s">
        <v>31</v>
      </c>
      <c r="Q54" t="s">
        <v>222</v>
      </c>
    </row>
    <row r="55" spans="1:24">
      <c r="A55" t="s">
        <v>245</v>
      </c>
      <c r="B55">
        <v>14.346621627854491</v>
      </c>
      <c r="D55" t="s">
        <v>37</v>
      </c>
      <c r="E55" t="s">
        <v>41</v>
      </c>
      <c r="F55" t="s">
        <v>42</v>
      </c>
      <c r="G55" t="s">
        <v>29</v>
      </c>
      <c r="H55" t="s">
        <v>43</v>
      </c>
      <c r="I55" s="23">
        <v>2</v>
      </c>
      <c r="J55">
        <f t="shared" si="1"/>
        <v>2.6635144878580816</v>
      </c>
      <c r="K55">
        <v>0.28635642126552707</v>
      </c>
      <c r="L55" t="s">
        <v>31</v>
      </c>
      <c r="M55" t="s">
        <v>31</v>
      </c>
      <c r="N55" t="s">
        <v>31</v>
      </c>
      <c r="Q55" t="s">
        <v>222</v>
      </c>
    </row>
    <row r="56" spans="1:24" s="28" customFormat="1">
      <c r="A56" s="82" t="s">
        <v>5</v>
      </c>
      <c r="B56" s="82" t="s">
        <v>248</v>
      </c>
      <c r="C56" s="82"/>
      <c r="D56" s="26"/>
      <c r="Q56" s="28" t="s">
        <v>222</v>
      </c>
      <c r="S56" s="83"/>
      <c r="T56" s="83"/>
      <c r="U56" s="83"/>
      <c r="V56" s="83"/>
      <c r="W56" s="83"/>
      <c r="X56" s="83"/>
    </row>
    <row r="57" spans="1:24">
      <c r="A57" t="s">
        <v>7</v>
      </c>
      <c r="B57" t="s">
        <v>223</v>
      </c>
      <c r="Q57" t="s">
        <v>222</v>
      </c>
    </row>
    <row r="58" spans="1:24">
      <c r="A58" t="s">
        <v>9</v>
      </c>
      <c r="B58" s="84" t="s">
        <v>250</v>
      </c>
      <c r="C58" s="23"/>
      <c r="Q58" t="s">
        <v>222</v>
      </c>
    </row>
    <row r="59" spans="1:24">
      <c r="A59" t="s">
        <v>11</v>
      </c>
      <c r="B59" t="s">
        <v>251</v>
      </c>
      <c r="Q59" t="s">
        <v>222</v>
      </c>
    </row>
    <row r="60" spans="1:24">
      <c r="A60" t="s">
        <v>13</v>
      </c>
      <c r="B60" t="s">
        <v>57</v>
      </c>
      <c r="Q60" t="s">
        <v>222</v>
      </c>
    </row>
    <row r="61" spans="1:24">
      <c r="A61" t="s">
        <v>15</v>
      </c>
      <c r="B61">
        <v>1</v>
      </c>
      <c r="Q61" t="s">
        <v>222</v>
      </c>
    </row>
    <row r="62" spans="1:24">
      <c r="A62" t="s">
        <v>16</v>
      </c>
      <c r="B62" t="s">
        <v>17</v>
      </c>
      <c r="Q62" t="s">
        <v>222</v>
      </c>
    </row>
    <row r="63" spans="1:24">
      <c r="A63" t="s">
        <v>18</v>
      </c>
      <c r="B63" t="s">
        <v>18</v>
      </c>
      <c r="E63" t="s">
        <v>226</v>
      </c>
      <c r="Q63" t="s">
        <v>222</v>
      </c>
    </row>
    <row r="64" spans="1:24">
      <c r="A64" s="76" t="s">
        <v>19</v>
      </c>
      <c r="Q64" t="s">
        <v>222</v>
      </c>
    </row>
    <row r="65" spans="1:22">
      <c r="A65" s="76" t="s">
        <v>20</v>
      </c>
      <c r="B65" s="76" t="s">
        <v>21</v>
      </c>
      <c r="C65" s="76" t="s">
        <v>209</v>
      </c>
      <c r="D65" s="76" t="s">
        <v>18</v>
      </c>
      <c r="E65" s="76" t="s">
        <v>22</v>
      </c>
      <c r="F65" s="76" t="s">
        <v>7</v>
      </c>
      <c r="G65" s="76" t="s">
        <v>13</v>
      </c>
      <c r="H65" s="76" t="s">
        <v>16</v>
      </c>
      <c r="I65" s="76" t="s">
        <v>23</v>
      </c>
      <c r="J65" s="76" t="s">
        <v>24</v>
      </c>
      <c r="K65" s="76" t="s">
        <v>25</v>
      </c>
      <c r="L65" s="76" t="s">
        <v>26</v>
      </c>
      <c r="M65" s="76" t="s">
        <v>27</v>
      </c>
      <c r="N65" s="76" t="s">
        <v>28</v>
      </c>
      <c r="O65" s="76" t="s">
        <v>11</v>
      </c>
      <c r="P65" s="85" t="s">
        <v>227</v>
      </c>
      <c r="Q65" t="s">
        <v>222</v>
      </c>
    </row>
    <row r="66" spans="1:22">
      <c r="A66" t="s">
        <v>248</v>
      </c>
      <c r="B66">
        <v>1</v>
      </c>
      <c r="D66" t="s">
        <v>18</v>
      </c>
      <c r="E66" t="s">
        <v>2</v>
      </c>
      <c r="F66" t="s">
        <v>29</v>
      </c>
      <c r="G66" t="s">
        <v>57</v>
      </c>
      <c r="H66" t="s">
        <v>30</v>
      </c>
      <c r="I66">
        <v>1</v>
      </c>
      <c r="J66">
        <v>1</v>
      </c>
      <c r="K66" t="s">
        <v>31</v>
      </c>
      <c r="L66" t="s">
        <v>31</v>
      </c>
      <c r="M66" t="s">
        <v>31</v>
      </c>
      <c r="N66" t="s">
        <v>31</v>
      </c>
      <c r="Q66" t="s">
        <v>222</v>
      </c>
    </row>
    <row r="67" spans="1:22">
      <c r="A67" s="93" t="s">
        <v>252</v>
      </c>
      <c r="B67" s="94">
        <f>17.6237138*10</f>
        <v>176.23713800000002</v>
      </c>
      <c r="C67" s="94"/>
      <c r="D67" s="81" t="s">
        <v>37</v>
      </c>
      <c r="E67" s="81" t="s">
        <v>38</v>
      </c>
      <c r="F67" s="81" t="s">
        <v>29</v>
      </c>
      <c r="G67" s="81" t="s">
        <v>57</v>
      </c>
      <c r="H67" s="81" t="s">
        <v>33</v>
      </c>
      <c r="I67" s="81">
        <v>2</v>
      </c>
      <c r="J67" s="81">
        <f t="shared" ref="J67:J102" si="2">LN(B67)</f>
        <v>5.1718304631429834</v>
      </c>
      <c r="K67" s="81">
        <v>0.30331501776206199</v>
      </c>
      <c r="L67" s="81" t="s">
        <v>31</v>
      </c>
      <c r="M67" s="81" t="s">
        <v>31</v>
      </c>
      <c r="N67" s="81" t="s">
        <v>31</v>
      </c>
      <c r="O67" s="81" t="s">
        <v>253</v>
      </c>
      <c r="P67" s="23" t="s">
        <v>254</v>
      </c>
      <c r="Q67" t="s">
        <v>222</v>
      </c>
    </row>
    <row r="68" spans="1:22">
      <c r="A68" s="93" t="s">
        <v>255</v>
      </c>
      <c r="B68" s="94">
        <f>11.8647837*2.2</f>
        <v>26.102524140000003</v>
      </c>
      <c r="C68" s="94"/>
      <c r="D68" s="81" t="s">
        <v>37</v>
      </c>
      <c r="E68" s="81" t="s">
        <v>38</v>
      </c>
      <c r="F68" s="81" t="s">
        <v>29</v>
      </c>
      <c r="G68" s="81" t="s">
        <v>57</v>
      </c>
      <c r="H68" s="81" t="s">
        <v>33</v>
      </c>
      <c r="I68" s="81">
        <v>2</v>
      </c>
      <c r="J68" s="81">
        <f t="shared" si="2"/>
        <v>3.2620320199973314</v>
      </c>
      <c r="K68" s="81">
        <v>0.30331501776206199</v>
      </c>
      <c r="L68" s="81" t="s">
        <v>31</v>
      </c>
      <c r="M68" s="81" t="s">
        <v>31</v>
      </c>
      <c r="N68" s="81" t="s">
        <v>31</v>
      </c>
      <c r="O68" s="81" t="s">
        <v>253</v>
      </c>
      <c r="P68" s="23" t="s">
        <v>256</v>
      </c>
      <c r="Q68" t="s">
        <v>222</v>
      </c>
    </row>
    <row r="69" spans="1:22">
      <c r="A69" s="93" t="s">
        <v>257</v>
      </c>
      <c r="B69" s="94">
        <f>5.60628376*1.2</f>
        <v>6.727540512</v>
      </c>
      <c r="C69" s="94"/>
      <c r="D69" s="81" t="s">
        <v>37</v>
      </c>
      <c r="E69" s="81" t="s">
        <v>38</v>
      </c>
      <c r="F69" s="81" t="s">
        <v>29</v>
      </c>
      <c r="G69" s="81" t="s">
        <v>57</v>
      </c>
      <c r="H69" s="81" t="s">
        <v>33</v>
      </c>
      <c r="I69" s="81">
        <v>2</v>
      </c>
      <c r="J69" s="81">
        <f t="shared" si="2"/>
        <v>1.9062096254514058</v>
      </c>
      <c r="K69" s="81">
        <v>0.30331501776206199</v>
      </c>
      <c r="L69" s="81" t="s">
        <v>31</v>
      </c>
      <c r="M69" s="81" t="s">
        <v>31</v>
      </c>
      <c r="N69" s="81" t="s">
        <v>31</v>
      </c>
      <c r="O69" s="81" t="s">
        <v>253</v>
      </c>
      <c r="P69" s="23" t="s">
        <v>222</v>
      </c>
      <c r="Q69" t="s">
        <v>222</v>
      </c>
    </row>
    <row r="70" spans="1:22">
      <c r="A70" s="93" t="s">
        <v>258</v>
      </c>
      <c r="B70" s="94">
        <f>36.540758408*2.2</f>
        <v>80.389668497600013</v>
      </c>
      <c r="C70" s="94"/>
      <c r="D70" s="81" t="s">
        <v>37</v>
      </c>
      <c r="E70" s="81" t="s">
        <v>38</v>
      </c>
      <c r="F70" s="81" t="s">
        <v>29</v>
      </c>
      <c r="G70" s="81" t="s">
        <v>57</v>
      </c>
      <c r="H70" s="81" t="s">
        <v>33</v>
      </c>
      <c r="I70" s="81">
        <v>2</v>
      </c>
      <c r="J70" s="81">
        <f t="shared" si="2"/>
        <v>4.386885666654293</v>
      </c>
      <c r="K70" s="81">
        <v>0.30331501776206199</v>
      </c>
      <c r="L70" s="81" t="s">
        <v>31</v>
      </c>
      <c r="M70" s="81" t="s">
        <v>31</v>
      </c>
      <c r="N70" s="81" t="s">
        <v>31</v>
      </c>
      <c r="O70" s="81" t="s">
        <v>253</v>
      </c>
      <c r="P70" s="23" t="s">
        <v>259</v>
      </c>
      <c r="Q70" t="s">
        <v>222</v>
      </c>
    </row>
    <row r="71" spans="1:22">
      <c r="A71" s="93" t="s">
        <v>260</v>
      </c>
      <c r="B71" s="94">
        <f>12.96106196*1.5</f>
        <v>19.44159294</v>
      </c>
      <c r="C71" s="94"/>
      <c r="D71" s="81" t="s">
        <v>37</v>
      </c>
      <c r="E71" s="81" t="s">
        <v>38</v>
      </c>
      <c r="F71" s="81" t="s">
        <v>29</v>
      </c>
      <c r="G71" s="81" t="s">
        <v>57</v>
      </c>
      <c r="H71" s="81" t="s">
        <v>33</v>
      </c>
      <c r="I71" s="81">
        <v>2</v>
      </c>
      <c r="J71" s="81">
        <f t="shared" si="2"/>
        <v>2.9674147370333079</v>
      </c>
      <c r="K71" s="81">
        <v>0.30331501776206199</v>
      </c>
      <c r="L71" s="81" t="s">
        <v>31</v>
      </c>
      <c r="M71" s="81" t="s">
        <v>31</v>
      </c>
      <c r="N71" s="81" t="s">
        <v>31</v>
      </c>
      <c r="O71" s="81" t="s">
        <v>253</v>
      </c>
      <c r="P71" s="23" t="s">
        <v>261</v>
      </c>
      <c r="Q71" t="s">
        <v>222</v>
      </c>
    </row>
    <row r="72" spans="1:22">
      <c r="A72" s="93" t="s">
        <v>260</v>
      </c>
      <c r="B72" s="94">
        <f>54.1708556004*1.5</f>
        <v>81.256283400600012</v>
      </c>
      <c r="C72" s="94"/>
      <c r="D72" s="81" t="s">
        <v>37</v>
      </c>
      <c r="E72" s="81" t="s">
        <v>38</v>
      </c>
      <c r="F72" s="81" t="s">
        <v>29</v>
      </c>
      <c r="G72" s="81" t="s">
        <v>57</v>
      </c>
      <c r="H72" s="81" t="s">
        <v>33</v>
      </c>
      <c r="I72" s="81">
        <v>2</v>
      </c>
      <c r="J72" s="81">
        <f t="shared" si="2"/>
        <v>4.397608152380946</v>
      </c>
      <c r="K72" s="81">
        <v>0.30331501776206199</v>
      </c>
      <c r="L72" s="81" t="s">
        <v>31</v>
      </c>
      <c r="M72" s="81" t="s">
        <v>31</v>
      </c>
      <c r="N72" s="81" t="s">
        <v>31</v>
      </c>
      <c r="O72" s="81" t="s">
        <v>253</v>
      </c>
      <c r="P72" s="23" t="s">
        <v>262</v>
      </c>
      <c r="Q72" t="s">
        <v>222</v>
      </c>
    </row>
    <row r="73" spans="1:22">
      <c r="A73" s="95" t="s">
        <v>263</v>
      </c>
      <c r="B73" s="96">
        <f>B67*0.9</f>
        <v>158.61342420000003</v>
      </c>
      <c r="C73" s="96"/>
      <c r="D73" s="97" t="s">
        <v>37</v>
      </c>
      <c r="E73" s="97" t="s">
        <v>38</v>
      </c>
      <c r="F73" s="97" t="s">
        <v>29</v>
      </c>
      <c r="G73" s="97" t="s">
        <v>130</v>
      </c>
      <c r="H73" s="97" t="s">
        <v>33</v>
      </c>
      <c r="I73" s="97">
        <v>2</v>
      </c>
      <c r="J73" s="97">
        <f t="shared" si="2"/>
        <v>5.0664699474851576</v>
      </c>
      <c r="K73" s="97">
        <v>0.30331501776206199</v>
      </c>
      <c r="L73" s="97" t="s">
        <v>31</v>
      </c>
      <c r="M73" s="97" t="s">
        <v>31</v>
      </c>
      <c r="N73" s="97" t="s">
        <v>31</v>
      </c>
      <c r="O73" s="97" t="s">
        <v>264</v>
      </c>
      <c r="P73" s="98" t="s">
        <v>265</v>
      </c>
      <c r="Q73" t="s">
        <v>222</v>
      </c>
    </row>
    <row r="74" spans="1:22">
      <c r="A74" s="99" t="s">
        <v>266</v>
      </c>
      <c r="B74" s="100">
        <f>B67*0.9</f>
        <v>158.61342420000003</v>
      </c>
      <c r="C74" s="29" t="s">
        <v>267</v>
      </c>
      <c r="D74" s="79" t="s">
        <v>37</v>
      </c>
      <c r="E74" s="79" t="s">
        <v>38</v>
      </c>
      <c r="F74" s="79" t="s">
        <v>29</v>
      </c>
      <c r="G74" s="79" t="s">
        <v>130</v>
      </c>
      <c r="H74" s="79" t="s">
        <v>33</v>
      </c>
      <c r="I74" s="101" t="s">
        <v>268</v>
      </c>
      <c r="J74" s="79">
        <f t="shared" si="2"/>
        <v>5.0664699474851576</v>
      </c>
      <c r="K74" s="79">
        <v>0.30331501776206199</v>
      </c>
      <c r="L74" s="79" t="s">
        <v>31</v>
      </c>
      <c r="M74" s="79" t="s">
        <v>31</v>
      </c>
      <c r="N74" s="79" t="s">
        <v>31</v>
      </c>
      <c r="O74" s="79" t="s">
        <v>264</v>
      </c>
      <c r="P74" s="102" t="s">
        <v>222</v>
      </c>
    </row>
    <row r="75" spans="1:22">
      <c r="A75" s="103" t="s">
        <v>252</v>
      </c>
      <c r="B75" s="104">
        <f>B67*0.9</f>
        <v>158.61342420000003</v>
      </c>
      <c r="C75" s="104"/>
      <c r="D75" s="105" t="s">
        <v>37</v>
      </c>
      <c r="E75" s="105" t="s">
        <v>38</v>
      </c>
      <c r="F75" s="105" t="s">
        <v>29</v>
      </c>
      <c r="G75" s="105" t="s">
        <v>57</v>
      </c>
      <c r="H75" s="105" t="s">
        <v>269</v>
      </c>
      <c r="I75" s="105">
        <v>2</v>
      </c>
      <c r="J75" s="79">
        <f t="shared" si="2"/>
        <v>5.0664699474851576</v>
      </c>
      <c r="K75" s="79">
        <v>0.30331501776206199</v>
      </c>
      <c r="L75" s="105" t="s">
        <v>31</v>
      </c>
      <c r="M75" s="105" t="s">
        <v>31</v>
      </c>
      <c r="N75" s="105" t="s">
        <v>31</v>
      </c>
      <c r="O75" s="105" t="s">
        <v>264</v>
      </c>
      <c r="P75" s="106" t="s">
        <v>270</v>
      </c>
      <c r="Q75" t="s">
        <v>222</v>
      </c>
    </row>
    <row r="76" spans="1:22" s="23" customFormat="1">
      <c r="A76" s="107" t="s">
        <v>77</v>
      </c>
      <c r="B76" s="108">
        <f>U76</f>
        <v>270.51728477365475</v>
      </c>
      <c r="C76" s="108"/>
      <c r="D76" s="109" t="s">
        <v>78</v>
      </c>
      <c r="E76" s="109" t="s">
        <v>38</v>
      </c>
      <c r="F76" s="109" t="s">
        <v>29</v>
      </c>
      <c r="G76" s="109" t="s">
        <v>57</v>
      </c>
      <c r="H76" s="109" t="s">
        <v>33</v>
      </c>
      <c r="I76" s="109">
        <v>2</v>
      </c>
      <c r="J76" s="109">
        <f>LN(B76)</f>
        <v>5.6003359955931362</v>
      </c>
      <c r="K76" s="109">
        <v>0.30331501776206199</v>
      </c>
      <c r="L76" s="109" t="s">
        <v>31</v>
      </c>
      <c r="M76" s="109" t="s">
        <v>31</v>
      </c>
      <c r="N76" s="109" t="s">
        <v>31</v>
      </c>
      <c r="O76" s="109" t="s">
        <v>264</v>
      </c>
      <c r="P76" s="98" t="s">
        <v>271</v>
      </c>
      <c r="Q76" s="23" t="s">
        <v>222</v>
      </c>
      <c r="R76" s="23" t="s">
        <v>272</v>
      </c>
      <c r="S76" s="23">
        <f>114*0.6*B78</f>
        <v>973.86144609600012</v>
      </c>
      <c r="T76" s="23" t="s">
        <v>237</v>
      </c>
      <c r="U76" s="23">
        <f>S76*0.277778</f>
        <v>270.51728477365475</v>
      </c>
      <c r="V76" s="23" t="s">
        <v>236</v>
      </c>
    </row>
    <row r="77" spans="1:22" s="23" customFormat="1" ht="15.75" customHeight="1">
      <c r="A77" s="110" t="s">
        <v>80</v>
      </c>
      <c r="B77" s="111">
        <f>U77</f>
        <v>16.951461202715411</v>
      </c>
      <c r="C77" s="111"/>
      <c r="D77" s="78" t="s">
        <v>48</v>
      </c>
      <c r="E77" s="78" t="s">
        <v>38</v>
      </c>
      <c r="F77" s="78" t="s">
        <v>29</v>
      </c>
      <c r="G77" s="78" t="s">
        <v>235</v>
      </c>
      <c r="H77" s="78" t="s">
        <v>33</v>
      </c>
      <c r="I77" s="78">
        <v>2</v>
      </c>
      <c r="J77" s="78">
        <f t="shared" si="2"/>
        <v>2.8303540367607565</v>
      </c>
      <c r="K77" s="78">
        <v>0.30331501776206199</v>
      </c>
      <c r="L77" s="78" t="s">
        <v>31</v>
      </c>
      <c r="M77" s="78" t="s">
        <v>31</v>
      </c>
      <c r="N77" s="78" t="s">
        <v>31</v>
      </c>
      <c r="O77" s="78" t="s">
        <v>264</v>
      </c>
      <c r="P77" s="102" t="s">
        <v>273</v>
      </c>
      <c r="Q77" s="23" t="s">
        <v>222</v>
      </c>
      <c r="R77" s="23" t="s">
        <v>274</v>
      </c>
      <c r="S77" s="23">
        <f>114*0.4*B78</f>
        <v>649.2409640640002</v>
      </c>
      <c r="T77" s="23" t="s">
        <v>237</v>
      </c>
      <c r="U77" s="23">
        <f>S77/38.3</f>
        <v>16.951461202715411</v>
      </c>
      <c r="V77" s="23" t="s">
        <v>238</v>
      </c>
    </row>
    <row r="78" spans="1:22" s="23" customFormat="1">
      <c r="A78" s="112" t="s">
        <v>255</v>
      </c>
      <c r="B78" s="113">
        <f>B68-11.8647837</f>
        <v>14.237740440000003</v>
      </c>
      <c r="C78" s="113"/>
      <c r="D78" s="114" t="s">
        <v>37</v>
      </c>
      <c r="E78" s="114" t="s">
        <v>38</v>
      </c>
      <c r="F78" s="114" t="s">
        <v>29</v>
      </c>
      <c r="G78" s="114" t="s">
        <v>57</v>
      </c>
      <c r="H78" s="114" t="s">
        <v>269</v>
      </c>
      <c r="I78" s="114">
        <v>2</v>
      </c>
      <c r="J78" s="114">
        <f t="shared" si="2"/>
        <v>2.6558962164270161</v>
      </c>
      <c r="K78" s="114">
        <v>0.30331501776206199</v>
      </c>
      <c r="L78" s="114" t="s">
        <v>31</v>
      </c>
      <c r="M78" s="114" t="s">
        <v>31</v>
      </c>
      <c r="N78" s="114" t="s">
        <v>31</v>
      </c>
      <c r="O78" s="114" t="s">
        <v>264</v>
      </c>
      <c r="P78" s="106" t="s">
        <v>275</v>
      </c>
      <c r="Q78" s="23" t="s">
        <v>222</v>
      </c>
      <c r="S78" s="23">
        <f>B78</f>
        <v>14.237740440000003</v>
      </c>
      <c r="T78" s="23" t="s">
        <v>240</v>
      </c>
    </row>
    <row r="79" spans="1:22" s="23" customFormat="1">
      <c r="A79" s="107" t="s">
        <v>263</v>
      </c>
      <c r="B79" s="108">
        <f>B69-5.60628376</f>
        <v>1.1212567519999999</v>
      </c>
      <c r="C79" s="108"/>
      <c r="D79" s="109" t="s">
        <v>37</v>
      </c>
      <c r="E79" s="109" t="s">
        <v>38</v>
      </c>
      <c r="F79" s="109" t="s">
        <v>29</v>
      </c>
      <c r="G79" s="109" t="s">
        <v>130</v>
      </c>
      <c r="H79" s="109" t="s">
        <v>33</v>
      </c>
      <c r="I79" s="109">
        <v>2</v>
      </c>
      <c r="J79" s="109">
        <f t="shared" si="2"/>
        <v>0.11445015622335059</v>
      </c>
      <c r="K79" s="109">
        <v>0.30331501776206199</v>
      </c>
      <c r="L79" s="109" t="s">
        <v>31</v>
      </c>
      <c r="M79" s="109" t="s">
        <v>31</v>
      </c>
      <c r="N79" s="109" t="s">
        <v>31</v>
      </c>
      <c r="O79" s="109" t="s">
        <v>264</v>
      </c>
      <c r="P79" s="102" t="s">
        <v>276</v>
      </c>
    </row>
    <row r="80" spans="1:22" s="23" customFormat="1">
      <c r="A80" s="110" t="s">
        <v>266</v>
      </c>
      <c r="B80" s="111">
        <f>B69-5.60628376</f>
        <v>1.1212567519999999</v>
      </c>
      <c r="C80" s="23" t="s">
        <v>267</v>
      </c>
      <c r="D80" s="78" t="s">
        <v>37</v>
      </c>
      <c r="E80" s="78" t="s">
        <v>38</v>
      </c>
      <c r="F80" s="78" t="s">
        <v>29</v>
      </c>
      <c r="G80" s="78" t="s">
        <v>130</v>
      </c>
      <c r="H80" s="78" t="s">
        <v>33</v>
      </c>
      <c r="I80" s="78">
        <v>2</v>
      </c>
      <c r="J80" s="78">
        <f t="shared" si="2"/>
        <v>0.11445015622335059</v>
      </c>
      <c r="K80" s="78">
        <v>0.30331501776206199</v>
      </c>
      <c r="L80" s="78" t="s">
        <v>31</v>
      </c>
      <c r="M80" s="78" t="s">
        <v>31</v>
      </c>
      <c r="N80" s="78" t="s">
        <v>31</v>
      </c>
      <c r="O80" s="78" t="s">
        <v>264</v>
      </c>
      <c r="P80" s="102" t="s">
        <v>276</v>
      </c>
      <c r="Q80" s="23" t="s">
        <v>222</v>
      </c>
    </row>
    <row r="81" spans="1:24" s="23" customFormat="1">
      <c r="A81" s="112" t="s">
        <v>257</v>
      </c>
      <c r="B81" s="113">
        <f>B69-5.60628376</f>
        <v>1.1212567519999999</v>
      </c>
      <c r="C81" s="113"/>
      <c r="D81" s="114" t="s">
        <v>37</v>
      </c>
      <c r="E81" s="114" t="s">
        <v>38</v>
      </c>
      <c r="F81" s="114" t="s">
        <v>29</v>
      </c>
      <c r="G81" s="114" t="s">
        <v>57</v>
      </c>
      <c r="H81" s="114" t="s">
        <v>269</v>
      </c>
      <c r="I81" s="114">
        <v>2</v>
      </c>
      <c r="J81" s="114">
        <f t="shared" si="2"/>
        <v>0.11445015622335059</v>
      </c>
      <c r="K81" s="114">
        <v>0.30331501776206199</v>
      </c>
      <c r="L81" s="114" t="s">
        <v>31</v>
      </c>
      <c r="M81" s="114" t="s">
        <v>31</v>
      </c>
      <c r="N81" s="114" t="s">
        <v>31</v>
      </c>
      <c r="O81" s="114" t="s">
        <v>264</v>
      </c>
      <c r="P81" s="106" t="s">
        <v>277</v>
      </c>
      <c r="Q81" s="23" t="s">
        <v>222</v>
      </c>
    </row>
    <row r="82" spans="1:24" s="23" customFormat="1">
      <c r="A82" s="107" t="s">
        <v>278</v>
      </c>
      <c r="B82" s="108">
        <f>B70-36.540758408</f>
        <v>43.848910089600011</v>
      </c>
      <c r="C82" s="115" t="s">
        <v>279</v>
      </c>
      <c r="D82" s="109" t="s">
        <v>37</v>
      </c>
      <c r="E82" s="109" t="s">
        <v>38</v>
      </c>
      <c r="F82" s="109" t="s">
        <v>29</v>
      </c>
      <c r="G82" s="109" t="s">
        <v>130</v>
      </c>
      <c r="H82" s="109" t="s">
        <v>33</v>
      </c>
      <c r="I82" s="109">
        <v>2</v>
      </c>
      <c r="J82" s="109">
        <f t="shared" si="2"/>
        <v>3.7807498630839773</v>
      </c>
      <c r="K82" s="109">
        <v>0.30331501776206199</v>
      </c>
      <c r="L82" s="109" t="s">
        <v>31</v>
      </c>
      <c r="M82" s="109" t="s">
        <v>31</v>
      </c>
      <c r="N82" s="109" t="s">
        <v>31</v>
      </c>
      <c r="O82" s="109" t="s">
        <v>264</v>
      </c>
      <c r="P82" s="102" t="s">
        <v>280</v>
      </c>
      <c r="Q82" s="23" t="s">
        <v>222</v>
      </c>
    </row>
    <row r="83" spans="1:24" s="23" customFormat="1">
      <c r="A83" s="110" t="s">
        <v>258</v>
      </c>
      <c r="B83" s="111">
        <f>B70-36.540758408</f>
        <v>43.848910089600011</v>
      </c>
      <c r="C83" s="111"/>
      <c r="D83" s="78" t="s">
        <v>37</v>
      </c>
      <c r="E83" s="78" t="s">
        <v>38</v>
      </c>
      <c r="F83" s="78" t="s">
        <v>29</v>
      </c>
      <c r="G83" s="78" t="s">
        <v>57</v>
      </c>
      <c r="H83" s="78" t="s">
        <v>269</v>
      </c>
      <c r="I83" s="78">
        <v>2</v>
      </c>
      <c r="J83" s="78">
        <f t="shared" si="2"/>
        <v>3.7807498630839773</v>
      </c>
      <c r="K83" s="78">
        <v>0.30331501776206199</v>
      </c>
      <c r="L83" s="78" t="s">
        <v>31</v>
      </c>
      <c r="M83" s="78" t="s">
        <v>31</v>
      </c>
      <c r="N83" s="78" t="s">
        <v>31</v>
      </c>
      <c r="O83" s="78" t="s">
        <v>264</v>
      </c>
      <c r="P83" s="102" t="s">
        <v>281</v>
      </c>
      <c r="Q83" s="23" t="s">
        <v>222</v>
      </c>
    </row>
    <row r="84" spans="1:24" s="23" customFormat="1">
      <c r="A84" s="107" t="s">
        <v>263</v>
      </c>
      <c r="B84" s="108">
        <f>B71-12.96106196</f>
        <v>6.4805309799999993</v>
      </c>
      <c r="C84" s="108"/>
      <c r="D84" s="109" t="s">
        <v>37</v>
      </c>
      <c r="E84" s="109" t="s">
        <v>38</v>
      </c>
      <c r="F84" s="109" t="s">
        <v>29</v>
      </c>
      <c r="G84" s="109" t="s">
        <v>130</v>
      </c>
      <c r="H84" s="109" t="s">
        <v>33</v>
      </c>
      <c r="I84" s="109">
        <v>2</v>
      </c>
      <c r="J84" s="109">
        <f t="shared" si="2"/>
        <v>1.8688024483651982</v>
      </c>
      <c r="K84" s="109">
        <v>0.30331501776206199</v>
      </c>
      <c r="L84" s="109" t="s">
        <v>31</v>
      </c>
      <c r="M84" s="109" t="s">
        <v>31</v>
      </c>
      <c r="N84" s="109" t="s">
        <v>31</v>
      </c>
      <c r="O84" s="109" t="s">
        <v>264</v>
      </c>
      <c r="P84" s="102" t="s">
        <v>282</v>
      </c>
    </row>
    <row r="85" spans="1:24" s="23" customFormat="1">
      <c r="A85" s="110" t="s">
        <v>266</v>
      </c>
      <c r="B85" s="111">
        <f>B71-12.96106196</f>
        <v>6.4805309799999993</v>
      </c>
      <c r="C85" s="23" t="s">
        <v>267</v>
      </c>
      <c r="D85" s="78" t="s">
        <v>37</v>
      </c>
      <c r="E85" s="78" t="s">
        <v>38</v>
      </c>
      <c r="F85" s="78" t="s">
        <v>29</v>
      </c>
      <c r="G85" s="78" t="s">
        <v>130</v>
      </c>
      <c r="H85" s="78" t="s">
        <v>33</v>
      </c>
      <c r="I85" s="116" t="s">
        <v>268</v>
      </c>
      <c r="J85" s="78">
        <f t="shared" si="2"/>
        <v>1.8688024483651982</v>
      </c>
      <c r="K85" s="78">
        <v>0.30331501776206199</v>
      </c>
      <c r="L85" s="78" t="s">
        <v>31</v>
      </c>
      <c r="M85" s="78" t="s">
        <v>31</v>
      </c>
      <c r="N85" s="78" t="s">
        <v>31</v>
      </c>
      <c r="O85" s="78" t="s">
        <v>264</v>
      </c>
      <c r="P85" s="102" t="s">
        <v>282</v>
      </c>
      <c r="Q85" s="23" t="s">
        <v>222</v>
      </c>
    </row>
    <row r="86" spans="1:24" s="23" customFormat="1">
      <c r="A86" s="112" t="s">
        <v>260</v>
      </c>
      <c r="B86" s="113">
        <f>B71-12.96106196</f>
        <v>6.4805309799999993</v>
      </c>
      <c r="C86" s="113"/>
      <c r="D86" s="114" t="s">
        <v>37</v>
      </c>
      <c r="E86" s="114" t="s">
        <v>38</v>
      </c>
      <c r="F86" s="114" t="s">
        <v>29</v>
      </c>
      <c r="G86" s="114" t="s">
        <v>57</v>
      </c>
      <c r="H86" s="114" t="s">
        <v>269</v>
      </c>
      <c r="I86" s="114">
        <v>2</v>
      </c>
      <c r="J86" s="114">
        <f t="shared" si="2"/>
        <v>1.8688024483651982</v>
      </c>
      <c r="K86" s="114">
        <v>0.30331501776206199</v>
      </c>
      <c r="L86" s="114" t="s">
        <v>31</v>
      </c>
      <c r="M86" s="114" t="s">
        <v>31</v>
      </c>
      <c r="N86" s="114" t="s">
        <v>31</v>
      </c>
      <c r="O86" s="114" t="s">
        <v>264</v>
      </c>
      <c r="P86" s="106" t="s">
        <v>283</v>
      </c>
      <c r="Q86" s="23" t="s">
        <v>222</v>
      </c>
    </row>
    <row r="87" spans="1:24" s="23" customFormat="1">
      <c r="A87" s="107" t="s">
        <v>263</v>
      </c>
      <c r="B87" s="111">
        <f>B72-54.1708556004</f>
        <v>27.085427800200009</v>
      </c>
      <c r="C87" s="111"/>
      <c r="D87" s="109" t="s">
        <v>37</v>
      </c>
      <c r="E87" s="109" t="s">
        <v>38</v>
      </c>
      <c r="F87" s="109" t="s">
        <v>29</v>
      </c>
      <c r="G87" s="109" t="s">
        <v>130</v>
      </c>
      <c r="H87" s="109" t="s">
        <v>33</v>
      </c>
      <c r="I87" s="109">
        <v>2</v>
      </c>
      <c r="J87" s="109">
        <f t="shared" si="2"/>
        <v>3.298995863712836</v>
      </c>
      <c r="K87" s="109">
        <v>0.30331501776206199</v>
      </c>
      <c r="L87" s="109" t="s">
        <v>31</v>
      </c>
      <c r="M87" s="109" t="s">
        <v>31</v>
      </c>
      <c r="N87" s="109" t="s">
        <v>31</v>
      </c>
      <c r="O87" s="109" t="s">
        <v>264</v>
      </c>
      <c r="P87" s="23" t="s">
        <v>284</v>
      </c>
    </row>
    <row r="88" spans="1:24" s="23" customFormat="1">
      <c r="A88" s="110" t="s">
        <v>266</v>
      </c>
      <c r="B88" s="111">
        <f>B72-54.1708556004</f>
        <v>27.085427800200009</v>
      </c>
      <c r="C88" s="23" t="s">
        <v>267</v>
      </c>
      <c r="D88" s="78" t="s">
        <v>37</v>
      </c>
      <c r="E88" s="78" t="s">
        <v>38</v>
      </c>
      <c r="F88" s="78" t="s">
        <v>29</v>
      </c>
      <c r="G88" s="78" t="s">
        <v>130</v>
      </c>
      <c r="H88" s="78" t="s">
        <v>33</v>
      </c>
      <c r="I88" s="116" t="s">
        <v>268</v>
      </c>
      <c r="J88" s="78">
        <f t="shared" si="2"/>
        <v>3.298995863712836</v>
      </c>
      <c r="K88" s="78">
        <v>0.30331501776206199</v>
      </c>
      <c r="L88" s="78" t="s">
        <v>31</v>
      </c>
      <c r="M88" s="78" t="s">
        <v>31</v>
      </c>
      <c r="N88" s="78" t="s">
        <v>31</v>
      </c>
      <c r="O88" s="78" t="s">
        <v>264</v>
      </c>
      <c r="P88" s="23" t="s">
        <v>284</v>
      </c>
      <c r="Q88" s="23" t="s">
        <v>222</v>
      </c>
    </row>
    <row r="89" spans="1:24" s="23" customFormat="1">
      <c r="A89" s="117" t="s">
        <v>260</v>
      </c>
      <c r="B89" s="111">
        <f>B72-54.1708556004</f>
        <v>27.085427800200009</v>
      </c>
      <c r="C89" s="111"/>
      <c r="D89" s="78" t="s">
        <v>37</v>
      </c>
      <c r="E89" s="78" t="s">
        <v>38</v>
      </c>
      <c r="F89" s="78" t="s">
        <v>29</v>
      </c>
      <c r="G89" s="78" t="s">
        <v>57</v>
      </c>
      <c r="H89" s="78" t="s">
        <v>269</v>
      </c>
      <c r="I89" s="78">
        <v>2</v>
      </c>
      <c r="J89" s="78">
        <f t="shared" si="2"/>
        <v>3.298995863712836</v>
      </c>
      <c r="K89" s="78">
        <v>0.30331501776206199</v>
      </c>
      <c r="L89" s="78" t="s">
        <v>31</v>
      </c>
      <c r="M89" s="78" t="s">
        <v>31</v>
      </c>
      <c r="N89" s="78" t="s">
        <v>31</v>
      </c>
      <c r="O89" s="78" t="s">
        <v>264</v>
      </c>
      <c r="P89" s="23" t="s">
        <v>285</v>
      </c>
      <c r="Q89" s="23" t="s">
        <v>222</v>
      </c>
      <c r="S89" s="85" t="s">
        <v>233</v>
      </c>
    </row>
    <row r="90" spans="1:24">
      <c r="A90" t="s">
        <v>77</v>
      </c>
      <c r="B90" s="86">
        <v>5553.8120837273618</v>
      </c>
      <c r="C90" s="86"/>
      <c r="D90" t="s">
        <v>78</v>
      </c>
      <c r="E90" t="s">
        <v>38</v>
      </c>
      <c r="F90" t="s">
        <v>29</v>
      </c>
      <c r="G90" t="s">
        <v>57</v>
      </c>
      <c r="H90" t="s">
        <v>33</v>
      </c>
      <c r="I90">
        <v>2</v>
      </c>
      <c r="J90">
        <f t="shared" si="2"/>
        <v>8.6222398328916405</v>
      </c>
      <c r="K90">
        <v>0.28635642126552707</v>
      </c>
      <c r="L90" t="s">
        <v>31</v>
      </c>
      <c r="M90" t="s">
        <v>31</v>
      </c>
      <c r="N90" t="s">
        <v>31</v>
      </c>
      <c r="P90" s="23"/>
      <c r="Q90" t="s">
        <v>222</v>
      </c>
    </row>
    <row r="91" spans="1:24">
      <c r="A91" s="23" t="s">
        <v>80</v>
      </c>
      <c r="B91" s="86">
        <v>524.93138080844267</v>
      </c>
      <c r="C91" s="86"/>
      <c r="D91" s="23" t="s">
        <v>48</v>
      </c>
      <c r="E91" s="23" t="s">
        <v>38</v>
      </c>
      <c r="F91" s="23" t="s">
        <v>29</v>
      </c>
      <c r="G91" s="23" t="s">
        <v>235</v>
      </c>
      <c r="H91" s="23" t="s">
        <v>33</v>
      </c>
      <c r="I91">
        <v>2</v>
      </c>
      <c r="J91">
        <f t="shared" si="2"/>
        <v>6.2632675508271989</v>
      </c>
      <c r="K91">
        <v>0.28635642126552707</v>
      </c>
      <c r="L91" t="s">
        <v>31</v>
      </c>
      <c r="M91" t="s">
        <v>31</v>
      </c>
      <c r="N91" t="s">
        <v>31</v>
      </c>
      <c r="P91" s="23"/>
      <c r="Q91" t="s">
        <v>222</v>
      </c>
      <c r="R91" s="23"/>
      <c r="S91" s="89">
        <v>5584.6911024613501</v>
      </c>
      <c r="T91" s="23" t="s">
        <v>236</v>
      </c>
      <c r="U91" s="23">
        <f>S91/0.277778</f>
        <v>20104.871884963351</v>
      </c>
      <c r="V91" s="23" t="s">
        <v>237</v>
      </c>
      <c r="W91" s="23">
        <f>U91/38.3</f>
        <v>524.93138080844267</v>
      </c>
      <c r="X91" s="23" t="s">
        <v>238</v>
      </c>
    </row>
    <row r="92" spans="1:24">
      <c r="A92" s="29" t="s">
        <v>239</v>
      </c>
      <c r="B92" s="86">
        <v>2509.138829245031</v>
      </c>
      <c r="C92" s="86"/>
      <c r="D92" s="23" t="s">
        <v>172</v>
      </c>
      <c r="E92" s="23" t="s">
        <v>38</v>
      </c>
      <c r="F92" s="23" t="s">
        <v>29</v>
      </c>
      <c r="G92" s="23" t="s">
        <v>57</v>
      </c>
      <c r="H92" s="23" t="s">
        <v>33</v>
      </c>
      <c r="I92">
        <v>2</v>
      </c>
      <c r="J92">
        <f t="shared" si="2"/>
        <v>7.8276948773366444</v>
      </c>
      <c r="K92">
        <v>0.28635642126552707</v>
      </c>
      <c r="L92" t="s">
        <v>31</v>
      </c>
      <c r="M92" t="s">
        <v>31</v>
      </c>
      <c r="N92" t="s">
        <v>31</v>
      </c>
      <c r="P92" s="23"/>
      <c r="Q92" t="s">
        <v>222</v>
      </c>
      <c r="R92" s="29"/>
      <c r="S92" s="89">
        <v>696.98356571002626</v>
      </c>
      <c r="T92" s="23" t="s">
        <v>236</v>
      </c>
      <c r="U92" s="23">
        <f>S92/0.277778</f>
        <v>2509.138829245031</v>
      </c>
      <c r="V92" s="23" t="s">
        <v>237</v>
      </c>
    </row>
    <row r="93" spans="1:24">
      <c r="A93" s="29" t="s">
        <v>73</v>
      </c>
      <c r="B93" s="86">
        <v>118.75021301382876</v>
      </c>
      <c r="C93" s="86"/>
      <c r="D93" s="23" t="s">
        <v>37</v>
      </c>
      <c r="E93" s="23" t="s">
        <v>38</v>
      </c>
      <c r="F93" s="23" t="s">
        <v>29</v>
      </c>
      <c r="G93" s="23" t="s">
        <v>57</v>
      </c>
      <c r="H93" s="23" t="s">
        <v>33</v>
      </c>
      <c r="I93">
        <v>2</v>
      </c>
      <c r="J93">
        <f t="shared" si="2"/>
        <v>4.7770222367138047</v>
      </c>
      <c r="K93">
        <v>0.28635642126552707</v>
      </c>
      <c r="L93" t="s">
        <v>31</v>
      </c>
      <c r="M93" t="s">
        <v>31</v>
      </c>
      <c r="N93" t="s">
        <v>31</v>
      </c>
      <c r="P93" s="23"/>
      <c r="Q93" t="s">
        <v>222</v>
      </c>
      <c r="R93" s="29"/>
      <c r="S93" s="89">
        <v>1477.7816108408786</v>
      </c>
      <c r="T93" s="23" t="s">
        <v>236</v>
      </c>
      <c r="U93" s="23">
        <f>S93/0.277778</f>
        <v>5320.0095430195279</v>
      </c>
      <c r="V93" s="23" t="s">
        <v>237</v>
      </c>
      <c r="W93" s="23">
        <f>U93/44.8</f>
        <v>118.75021301382876</v>
      </c>
      <c r="X93" s="23" t="s">
        <v>240</v>
      </c>
    </row>
    <row r="94" spans="1:24">
      <c r="A94" s="29" t="s">
        <v>36</v>
      </c>
      <c r="B94" s="86">
        <v>234.42828121336936</v>
      </c>
      <c r="C94" s="86"/>
      <c r="D94" s="23" t="s">
        <v>37</v>
      </c>
      <c r="E94" s="23" t="s">
        <v>38</v>
      </c>
      <c r="F94" s="23" t="s">
        <v>29</v>
      </c>
      <c r="G94" s="23" t="s">
        <v>130</v>
      </c>
      <c r="H94" s="23" t="s">
        <v>33</v>
      </c>
      <c r="I94">
        <v>2</v>
      </c>
      <c r="J94">
        <f t="shared" si="2"/>
        <v>5.4571497040654471</v>
      </c>
      <c r="K94">
        <v>0.28635642126552707</v>
      </c>
      <c r="L94" t="s">
        <v>31</v>
      </c>
      <c r="M94" t="s">
        <v>31</v>
      </c>
      <c r="N94" t="s">
        <v>31</v>
      </c>
      <c r="P94" s="23"/>
      <c r="Q94" t="s">
        <v>222</v>
      </c>
      <c r="R94" s="29"/>
      <c r="S94" s="89">
        <v>3008.4986823685945</v>
      </c>
      <c r="T94" s="23" t="s">
        <v>236</v>
      </c>
      <c r="U94" s="23">
        <f>S94/0.277778</f>
        <v>10830.586592057665</v>
      </c>
      <c r="V94" s="23" t="s">
        <v>237</v>
      </c>
      <c r="W94" s="23">
        <f>U94/46.2</f>
        <v>234.42828121336936</v>
      </c>
      <c r="X94" s="23" t="s">
        <v>240</v>
      </c>
    </row>
    <row r="95" spans="1:24" s="91" customFormat="1">
      <c r="A95" s="73" t="s">
        <v>56</v>
      </c>
      <c r="B95" s="89">
        <v>1.443693227413712</v>
      </c>
      <c r="C95" s="89"/>
      <c r="D95" s="23" t="s">
        <v>37</v>
      </c>
      <c r="E95" t="s">
        <v>2</v>
      </c>
      <c r="F95" s="23" t="s">
        <v>206</v>
      </c>
      <c r="G95" s="23" t="s">
        <v>57</v>
      </c>
      <c r="H95" s="23" t="s">
        <v>33</v>
      </c>
      <c r="I95" s="23">
        <v>2</v>
      </c>
      <c r="J95" s="23">
        <f t="shared" si="2"/>
        <v>0.36720457151130753</v>
      </c>
      <c r="K95" s="23">
        <v>0.28635642126552707</v>
      </c>
      <c r="L95" s="23" t="s">
        <v>31</v>
      </c>
      <c r="M95" s="23" t="s">
        <v>31</v>
      </c>
      <c r="N95" s="23" t="s">
        <v>31</v>
      </c>
      <c r="O95" s="23"/>
      <c r="P95" s="23"/>
      <c r="Q95" t="s">
        <v>222</v>
      </c>
      <c r="R95" s="90"/>
      <c r="S95" s="89">
        <v>17.645153562279148</v>
      </c>
      <c r="T95" s="23" t="s">
        <v>236</v>
      </c>
      <c r="U95" s="23">
        <f>S95/0.277778</f>
        <v>63.522502006203325</v>
      </c>
      <c r="V95" s="23" t="s">
        <v>237</v>
      </c>
      <c r="W95" s="23">
        <f>U95/44</f>
        <v>1.443693227413712</v>
      </c>
      <c r="X95" s="23" t="s">
        <v>240</v>
      </c>
    </row>
    <row r="96" spans="1:24">
      <c r="A96" t="s">
        <v>82</v>
      </c>
      <c r="B96" s="86">
        <f>18.4522351228316*997.42788</f>
        <v>18404.773759827462</v>
      </c>
      <c r="C96" s="86"/>
      <c r="D96" t="s">
        <v>37</v>
      </c>
      <c r="E96" t="s">
        <v>38</v>
      </c>
      <c r="F96" t="s">
        <v>29</v>
      </c>
      <c r="G96" t="s">
        <v>57</v>
      </c>
      <c r="H96" t="s">
        <v>33</v>
      </c>
      <c r="I96">
        <v>2</v>
      </c>
      <c r="J96">
        <f t="shared" si="2"/>
        <v>9.8203653534163244</v>
      </c>
      <c r="K96">
        <v>0.28635642126552707</v>
      </c>
      <c r="L96" t="s">
        <v>31</v>
      </c>
      <c r="M96" t="s">
        <v>31</v>
      </c>
      <c r="N96" t="s">
        <v>31</v>
      </c>
      <c r="O96" t="s">
        <v>241</v>
      </c>
      <c r="P96" s="23"/>
      <c r="Q96" t="s">
        <v>222</v>
      </c>
    </row>
    <row r="97" spans="1:24">
      <c r="A97" s="88" t="s">
        <v>242</v>
      </c>
      <c r="B97" s="86">
        <v>17.206486435153327</v>
      </c>
      <c r="C97" s="86"/>
      <c r="D97" s="23" t="s">
        <v>48</v>
      </c>
      <c r="E97" s="23" t="s">
        <v>38</v>
      </c>
      <c r="F97" s="23" t="s">
        <v>29</v>
      </c>
      <c r="G97" s="33" t="s">
        <v>130</v>
      </c>
      <c r="H97" s="23" t="s">
        <v>33</v>
      </c>
      <c r="I97">
        <v>2</v>
      </c>
      <c r="J97">
        <f t="shared" si="2"/>
        <v>2.8452864310510333</v>
      </c>
      <c r="K97">
        <v>0.28635642126552707</v>
      </c>
      <c r="L97" t="s">
        <v>31</v>
      </c>
      <c r="M97" t="s">
        <v>31</v>
      </c>
      <c r="N97" t="s">
        <v>31</v>
      </c>
      <c r="P97" s="23"/>
      <c r="Q97" t="s">
        <v>222</v>
      </c>
    </row>
    <row r="98" spans="1:24">
      <c r="A98" t="s">
        <v>243</v>
      </c>
      <c r="B98" s="86">
        <v>417.52318387848067</v>
      </c>
      <c r="C98" s="86"/>
      <c r="D98" t="s">
        <v>37</v>
      </c>
      <c r="E98" t="s">
        <v>38</v>
      </c>
      <c r="F98" t="s">
        <v>29</v>
      </c>
      <c r="G98" t="s">
        <v>130</v>
      </c>
      <c r="H98" t="s">
        <v>33</v>
      </c>
      <c r="I98">
        <v>2</v>
      </c>
      <c r="J98">
        <f t="shared" si="2"/>
        <v>6.0343400729970211</v>
      </c>
      <c r="K98">
        <v>0.28635642126552707</v>
      </c>
      <c r="L98" t="s">
        <v>31</v>
      </c>
      <c r="M98" t="s">
        <v>31</v>
      </c>
      <c r="N98" t="s">
        <v>31</v>
      </c>
      <c r="P98" s="23"/>
      <c r="Q98" t="s">
        <v>222</v>
      </c>
    </row>
    <row r="99" spans="1:24">
      <c r="A99" t="s">
        <v>46</v>
      </c>
      <c r="B99" s="86">
        <v>7844.1673688501305</v>
      </c>
      <c r="C99" s="86"/>
      <c r="D99" t="s">
        <v>37</v>
      </c>
      <c r="E99" t="s">
        <v>41</v>
      </c>
      <c r="F99" t="s">
        <v>42</v>
      </c>
      <c r="G99" t="s">
        <v>29</v>
      </c>
      <c r="H99" t="s">
        <v>43</v>
      </c>
      <c r="I99">
        <v>2</v>
      </c>
      <c r="J99">
        <f t="shared" si="2"/>
        <v>8.9675255242699041</v>
      </c>
      <c r="K99">
        <v>0.28635642126552707</v>
      </c>
      <c r="L99" t="s">
        <v>31</v>
      </c>
      <c r="M99" t="s">
        <v>31</v>
      </c>
      <c r="N99" t="s">
        <v>31</v>
      </c>
      <c r="P99" s="23"/>
      <c r="Q99" t="s">
        <v>222</v>
      </c>
    </row>
    <row r="100" spans="1:24">
      <c r="A100" t="s">
        <v>49</v>
      </c>
      <c r="B100" s="86">
        <v>8.3912210368916593E-2</v>
      </c>
      <c r="C100" s="86"/>
      <c r="D100" t="s">
        <v>37</v>
      </c>
      <c r="E100" t="s">
        <v>41</v>
      </c>
      <c r="F100" t="s">
        <v>42</v>
      </c>
      <c r="G100" t="s">
        <v>29</v>
      </c>
      <c r="H100" t="s">
        <v>43</v>
      </c>
      <c r="I100">
        <v>2</v>
      </c>
      <c r="J100">
        <f t="shared" si="2"/>
        <v>-2.4779841413077124</v>
      </c>
      <c r="K100">
        <v>0.28635642126552707</v>
      </c>
      <c r="L100" t="s">
        <v>31</v>
      </c>
      <c r="M100" t="s">
        <v>31</v>
      </c>
      <c r="N100" t="s">
        <v>31</v>
      </c>
      <c r="P100" s="23"/>
      <c r="Q100" t="s">
        <v>222</v>
      </c>
    </row>
    <row r="101" spans="1:24">
      <c r="A101" t="s">
        <v>40</v>
      </c>
      <c r="B101">
        <v>1.3306079072785344</v>
      </c>
      <c r="D101" t="s">
        <v>37</v>
      </c>
      <c r="E101" t="s">
        <v>41</v>
      </c>
      <c r="F101" t="s">
        <v>42</v>
      </c>
      <c r="G101" t="s">
        <v>29</v>
      </c>
      <c r="H101" t="s">
        <v>43</v>
      </c>
      <c r="I101">
        <v>2</v>
      </c>
      <c r="J101">
        <f t="shared" si="2"/>
        <v>0.28563591094930818</v>
      </c>
      <c r="K101">
        <v>0.28635642126552707</v>
      </c>
      <c r="L101" t="s">
        <v>31</v>
      </c>
      <c r="M101" t="s">
        <v>31</v>
      </c>
      <c r="N101" t="s">
        <v>31</v>
      </c>
      <c r="P101" s="23"/>
      <c r="Q101" t="s">
        <v>222</v>
      </c>
    </row>
    <row r="102" spans="1:24">
      <c r="A102" t="s">
        <v>245</v>
      </c>
      <c r="B102">
        <v>6.2994095069808091</v>
      </c>
      <c r="D102" t="s">
        <v>37</v>
      </c>
      <c r="E102" t="s">
        <v>41</v>
      </c>
      <c r="F102" t="s">
        <v>42</v>
      </c>
      <c r="G102" t="s">
        <v>29</v>
      </c>
      <c r="H102" t="s">
        <v>43</v>
      </c>
      <c r="I102">
        <v>2</v>
      </c>
      <c r="J102">
        <f t="shared" si="2"/>
        <v>1.8404558999539797</v>
      </c>
      <c r="K102">
        <v>0.28635642126552707</v>
      </c>
      <c r="L102" t="s">
        <v>31</v>
      </c>
      <c r="M102" t="s">
        <v>31</v>
      </c>
      <c r="N102" t="s">
        <v>31</v>
      </c>
      <c r="P102" s="23"/>
      <c r="Q102" t="s">
        <v>222</v>
      </c>
    </row>
    <row r="103" spans="1:24" s="28" customFormat="1">
      <c r="A103" s="82" t="s">
        <v>5</v>
      </c>
      <c r="B103" s="82" t="s">
        <v>249</v>
      </c>
      <c r="C103" s="82"/>
      <c r="D103" s="26"/>
      <c r="Q103" s="28" t="s">
        <v>222</v>
      </c>
      <c r="S103" s="83"/>
      <c r="T103" s="83"/>
      <c r="U103" s="83"/>
      <c r="V103" s="83"/>
      <c r="W103" s="83"/>
      <c r="X103" s="83"/>
    </row>
    <row r="104" spans="1:24">
      <c r="A104" t="s">
        <v>7</v>
      </c>
      <c r="B104" t="s">
        <v>223</v>
      </c>
      <c r="Q104" t="s">
        <v>222</v>
      </c>
    </row>
    <row r="105" spans="1:24">
      <c r="A105" t="s">
        <v>9</v>
      </c>
      <c r="B105" s="84" t="s">
        <v>286</v>
      </c>
      <c r="C105" s="23"/>
      <c r="Q105" t="s">
        <v>222</v>
      </c>
    </row>
    <row r="106" spans="1:24">
      <c r="A106" t="s">
        <v>11</v>
      </c>
      <c r="B106" t="s">
        <v>287</v>
      </c>
      <c r="Q106" t="s">
        <v>222</v>
      </c>
    </row>
    <row r="107" spans="1:24">
      <c r="A107" t="s">
        <v>13</v>
      </c>
      <c r="B107" t="s">
        <v>57</v>
      </c>
      <c r="Q107" t="s">
        <v>222</v>
      </c>
    </row>
    <row r="108" spans="1:24">
      <c r="A108" t="s">
        <v>15</v>
      </c>
      <c r="B108">
        <v>1</v>
      </c>
      <c r="Q108" t="s">
        <v>222</v>
      </c>
    </row>
    <row r="109" spans="1:24">
      <c r="A109" t="s">
        <v>16</v>
      </c>
      <c r="B109" t="s">
        <v>17</v>
      </c>
      <c r="Q109" t="s">
        <v>222</v>
      </c>
    </row>
    <row r="110" spans="1:24">
      <c r="A110" t="s">
        <v>18</v>
      </c>
      <c r="B110" t="s">
        <v>18</v>
      </c>
      <c r="E110" t="s">
        <v>226</v>
      </c>
      <c r="Q110" t="s">
        <v>222</v>
      </c>
    </row>
    <row r="111" spans="1:24">
      <c r="A111" s="76" t="s">
        <v>19</v>
      </c>
      <c r="Q111" t="s">
        <v>222</v>
      </c>
    </row>
    <row r="112" spans="1:24">
      <c r="A112" s="76" t="s">
        <v>20</v>
      </c>
      <c r="B112" s="76" t="s">
        <v>21</v>
      </c>
      <c r="C112" s="76" t="s">
        <v>209</v>
      </c>
      <c r="D112" s="76" t="s">
        <v>18</v>
      </c>
      <c r="E112" s="76" t="s">
        <v>22</v>
      </c>
      <c r="F112" s="76" t="s">
        <v>7</v>
      </c>
      <c r="G112" s="76" t="s">
        <v>13</v>
      </c>
      <c r="H112" s="76" t="s">
        <v>16</v>
      </c>
      <c r="I112" s="76" t="s">
        <v>23</v>
      </c>
      <c r="J112" s="76" t="s">
        <v>24</v>
      </c>
      <c r="K112" s="76" t="s">
        <v>25</v>
      </c>
      <c r="L112" s="76" t="s">
        <v>26</v>
      </c>
      <c r="M112" s="76" t="s">
        <v>27</v>
      </c>
      <c r="N112" s="76" t="s">
        <v>28</v>
      </c>
      <c r="O112" s="76" t="s">
        <v>11</v>
      </c>
      <c r="P112" s="85" t="s">
        <v>227</v>
      </c>
      <c r="Q112" t="s">
        <v>222</v>
      </c>
    </row>
    <row r="113" spans="1:24">
      <c r="A113" t="s">
        <v>249</v>
      </c>
      <c r="B113" s="118">
        <v>1</v>
      </c>
      <c r="C113" s="118"/>
      <c r="D113" t="s">
        <v>18</v>
      </c>
      <c r="E113" t="s">
        <v>2</v>
      </c>
      <c r="F113" t="s">
        <v>29</v>
      </c>
      <c r="G113" t="s">
        <v>57</v>
      </c>
      <c r="H113" t="s">
        <v>30</v>
      </c>
      <c r="I113">
        <v>1</v>
      </c>
      <c r="J113">
        <v>1</v>
      </c>
      <c r="K113" t="s">
        <v>31</v>
      </c>
      <c r="L113" t="s">
        <v>31</v>
      </c>
      <c r="M113" t="s">
        <v>31</v>
      </c>
      <c r="N113" t="s">
        <v>31</v>
      </c>
      <c r="Q113" t="s">
        <v>222</v>
      </c>
    </row>
    <row r="114" spans="1:24">
      <c r="A114" s="93" t="s">
        <v>288</v>
      </c>
      <c r="B114" s="81">
        <f>75.4198*1.5</f>
        <v>113.12969999999999</v>
      </c>
      <c r="C114" s="81"/>
      <c r="D114" s="81" t="s">
        <v>37</v>
      </c>
      <c r="E114" s="81" t="s">
        <v>38</v>
      </c>
      <c r="F114" s="81" t="s">
        <v>29</v>
      </c>
      <c r="G114" s="81" t="s">
        <v>57</v>
      </c>
      <c r="H114" s="81" t="s">
        <v>33</v>
      </c>
      <c r="I114" s="81">
        <v>2</v>
      </c>
      <c r="J114" s="81">
        <f t="shared" ref="J114:J136" si="3">LN(B114)</f>
        <v>4.7285349481183649</v>
      </c>
      <c r="K114" s="81">
        <v>0.30331501776206199</v>
      </c>
      <c r="L114" s="81" t="s">
        <v>31</v>
      </c>
      <c r="M114" s="81" t="s">
        <v>31</v>
      </c>
      <c r="N114" s="81" t="s">
        <v>31</v>
      </c>
      <c r="O114" s="81" t="s">
        <v>253</v>
      </c>
      <c r="P114" s="23" t="s">
        <v>222</v>
      </c>
      <c r="Q114" t="s">
        <v>222</v>
      </c>
    </row>
    <row r="115" spans="1:24">
      <c r="A115" s="93" t="s">
        <v>289</v>
      </c>
      <c r="B115" s="81">
        <f>84.847275*8.333</f>
        <v>707.03234257500003</v>
      </c>
      <c r="C115" s="81"/>
      <c r="D115" s="81" t="s">
        <v>37</v>
      </c>
      <c r="E115" s="81" t="s">
        <v>38</v>
      </c>
      <c r="F115" s="81" t="s">
        <v>29</v>
      </c>
      <c r="G115" s="81" t="s">
        <v>57</v>
      </c>
      <c r="H115" s="81" t="s">
        <v>33</v>
      </c>
      <c r="I115" s="81">
        <v>2</v>
      </c>
      <c r="J115" s="81">
        <f t="shared" si="3"/>
        <v>6.5610764110666535</v>
      </c>
      <c r="K115" s="81">
        <v>0.30331501776206199</v>
      </c>
      <c r="L115" s="81" t="s">
        <v>31</v>
      </c>
      <c r="M115" s="81" t="s">
        <v>31</v>
      </c>
      <c r="N115" s="81" t="s">
        <v>31</v>
      </c>
      <c r="O115" s="81" t="s">
        <v>253</v>
      </c>
      <c r="P115" s="23" t="s">
        <v>290</v>
      </c>
      <c r="Q115" t="s">
        <v>222</v>
      </c>
    </row>
    <row r="116" spans="1:24">
      <c r="A116" s="93" t="s">
        <v>252</v>
      </c>
      <c r="B116" s="81">
        <f>28.282425*7</f>
        <v>197.97697500000001</v>
      </c>
      <c r="C116" s="81"/>
      <c r="D116" s="81" t="s">
        <v>37</v>
      </c>
      <c r="E116" s="81" t="s">
        <v>38</v>
      </c>
      <c r="F116" s="81" t="s">
        <v>29</v>
      </c>
      <c r="G116" s="81" t="s">
        <v>57</v>
      </c>
      <c r="H116" s="81" t="s">
        <v>33</v>
      </c>
      <c r="I116" s="81">
        <v>2</v>
      </c>
      <c r="J116" s="81">
        <f t="shared" si="3"/>
        <v>5.2881507360537876</v>
      </c>
      <c r="K116" s="81">
        <v>0.30331501776206199</v>
      </c>
      <c r="L116" s="81" t="s">
        <v>31</v>
      </c>
      <c r="M116" s="81" t="s">
        <v>31</v>
      </c>
      <c r="N116" s="81" t="s">
        <v>31</v>
      </c>
      <c r="O116" s="81" t="s">
        <v>253</v>
      </c>
      <c r="P116" s="23" t="s">
        <v>291</v>
      </c>
      <c r="Q116" t="s">
        <v>222</v>
      </c>
    </row>
    <row r="117" spans="1:24">
      <c r="A117" s="119" t="s">
        <v>292</v>
      </c>
      <c r="B117" s="120">
        <f>B114-75.4198</f>
        <v>37.70989999999999</v>
      </c>
      <c r="C117" s="120"/>
      <c r="D117" s="121" t="s">
        <v>37</v>
      </c>
      <c r="E117" s="121" t="s">
        <v>38</v>
      </c>
      <c r="F117" s="121" t="s">
        <v>29</v>
      </c>
      <c r="G117" s="121" t="s">
        <v>130</v>
      </c>
      <c r="H117" s="121" t="s">
        <v>33</v>
      </c>
      <c r="I117" s="121">
        <v>2</v>
      </c>
      <c r="J117" s="121">
        <f t="shared" si="3"/>
        <v>3.6299226594502549</v>
      </c>
      <c r="K117" s="121">
        <v>0.30331501776206199</v>
      </c>
      <c r="L117" s="121" t="s">
        <v>31</v>
      </c>
      <c r="M117" s="121" t="s">
        <v>31</v>
      </c>
      <c r="N117" s="121" t="s">
        <v>31</v>
      </c>
      <c r="O117" s="121" t="s">
        <v>264</v>
      </c>
      <c r="P117" s="122" t="s">
        <v>293</v>
      </c>
      <c r="Q117" t="s">
        <v>222</v>
      </c>
    </row>
    <row r="118" spans="1:24" s="23" customFormat="1">
      <c r="A118" s="107" t="s">
        <v>77</v>
      </c>
      <c r="B118" s="108">
        <f>U118</f>
        <v>11821.525741138028</v>
      </c>
      <c r="C118" s="108"/>
      <c r="D118" s="109" t="s">
        <v>78</v>
      </c>
      <c r="E118" s="109" t="s">
        <v>38</v>
      </c>
      <c r="F118" s="109" t="s">
        <v>29</v>
      </c>
      <c r="G118" s="109" t="s">
        <v>57</v>
      </c>
      <c r="H118" s="109" t="s">
        <v>33</v>
      </c>
      <c r="I118" s="109">
        <v>2</v>
      </c>
      <c r="J118" s="109">
        <f>LN(B118)</f>
        <v>9.3776773639443665</v>
      </c>
      <c r="K118" s="109">
        <v>0.30331501776206199</v>
      </c>
      <c r="L118" s="109" t="s">
        <v>31</v>
      </c>
      <c r="M118" s="109" t="s">
        <v>31</v>
      </c>
      <c r="N118" s="109" t="s">
        <v>31</v>
      </c>
      <c r="O118" s="109" t="s">
        <v>264</v>
      </c>
      <c r="P118" s="98" t="s">
        <v>271</v>
      </c>
      <c r="Q118" s="23" t="s">
        <v>222</v>
      </c>
      <c r="R118" s="23" t="s">
        <v>272</v>
      </c>
      <c r="S118" s="23">
        <f>114*0.6*B120</f>
        <v>42557.458622129998</v>
      </c>
      <c r="T118" s="23" t="s">
        <v>237</v>
      </c>
      <c r="U118" s="23">
        <f>S118*0.277778</f>
        <v>11821.525741138028</v>
      </c>
      <c r="V118" s="23" t="s">
        <v>236</v>
      </c>
    </row>
    <row r="119" spans="1:24" s="23" customFormat="1">
      <c r="A119" s="110" t="s">
        <v>80</v>
      </c>
      <c r="B119" s="111">
        <f>U119</f>
        <v>740.77386635561368</v>
      </c>
      <c r="C119" s="111"/>
      <c r="D119" s="78" t="s">
        <v>48</v>
      </c>
      <c r="E119" s="78" t="s">
        <v>38</v>
      </c>
      <c r="F119" s="78" t="s">
        <v>29</v>
      </c>
      <c r="G119" s="78" t="s">
        <v>235</v>
      </c>
      <c r="H119" s="78" t="s">
        <v>33</v>
      </c>
      <c r="I119" s="78">
        <v>2</v>
      </c>
      <c r="J119" s="78">
        <f t="shared" ref="J119" si="4">LN(B119)</f>
        <v>6.6076954051119872</v>
      </c>
      <c r="K119" s="78">
        <v>0.30331501776206199</v>
      </c>
      <c r="L119" s="78" t="s">
        <v>31</v>
      </c>
      <c r="M119" s="78" t="s">
        <v>31</v>
      </c>
      <c r="N119" s="78" t="s">
        <v>31</v>
      </c>
      <c r="O119" s="78" t="s">
        <v>264</v>
      </c>
      <c r="P119" s="102" t="s">
        <v>273</v>
      </c>
      <c r="Q119" s="23" t="s">
        <v>222</v>
      </c>
      <c r="R119" s="23" t="s">
        <v>274</v>
      </c>
      <c r="S119" s="23">
        <f>114*0.4*B120</f>
        <v>28371.639081420002</v>
      </c>
      <c r="T119" s="23" t="s">
        <v>237</v>
      </c>
      <c r="U119" s="23">
        <f>S119/38.3</f>
        <v>740.77386635561368</v>
      </c>
      <c r="V119" s="23" t="s">
        <v>238</v>
      </c>
    </row>
    <row r="120" spans="1:24">
      <c r="A120" s="103" t="s">
        <v>289</v>
      </c>
      <c r="B120" s="123">
        <f>B115-84.847275</f>
        <v>622.18506757500006</v>
      </c>
      <c r="C120" s="123"/>
      <c r="D120" s="105" t="s">
        <v>37</v>
      </c>
      <c r="E120" s="105" t="s">
        <v>38</v>
      </c>
      <c r="F120" s="105" t="s">
        <v>29</v>
      </c>
      <c r="G120" s="105" t="s">
        <v>57</v>
      </c>
      <c r="H120" s="105" t="s">
        <v>269</v>
      </c>
      <c r="I120" s="105">
        <v>2</v>
      </c>
      <c r="J120" s="105">
        <f t="shared" si="3"/>
        <v>6.4332375847782464</v>
      </c>
      <c r="K120" s="105">
        <v>0.30331501776206199</v>
      </c>
      <c r="L120" s="105" t="s">
        <v>31</v>
      </c>
      <c r="M120" s="105" t="s">
        <v>31</v>
      </c>
      <c r="N120" s="105" t="s">
        <v>31</v>
      </c>
      <c r="O120" s="105" t="s">
        <v>264</v>
      </c>
      <c r="P120" s="106" t="s">
        <v>294</v>
      </c>
      <c r="Q120" t="s">
        <v>222</v>
      </c>
    </row>
    <row r="121" spans="1:24">
      <c r="A121" s="95" t="s">
        <v>263</v>
      </c>
      <c r="B121" s="124">
        <f>B116-28.282425</f>
        <v>169.69455000000002</v>
      </c>
      <c r="C121" s="124"/>
      <c r="D121" s="97" t="s">
        <v>37</v>
      </c>
      <c r="E121" s="97" t="s">
        <v>38</v>
      </c>
      <c r="F121" s="97" t="s">
        <v>29</v>
      </c>
      <c r="G121" s="97" t="s">
        <v>130</v>
      </c>
      <c r="H121" s="97" t="s">
        <v>33</v>
      </c>
      <c r="I121" s="97">
        <v>2</v>
      </c>
      <c r="J121" s="97">
        <f t="shared" si="3"/>
        <v>5.1340000562265296</v>
      </c>
      <c r="K121" s="97">
        <v>0.30331501776206199</v>
      </c>
      <c r="L121" s="97" t="s">
        <v>31</v>
      </c>
      <c r="M121" s="97" t="s">
        <v>31</v>
      </c>
      <c r="N121" s="97" t="s">
        <v>31</v>
      </c>
      <c r="O121" s="97" t="s">
        <v>264</v>
      </c>
      <c r="P121" s="98" t="s">
        <v>295</v>
      </c>
      <c r="Q121" t="s">
        <v>222</v>
      </c>
    </row>
    <row r="122" spans="1:24">
      <c r="A122" s="99" t="s">
        <v>266</v>
      </c>
      <c r="B122" s="125">
        <f>B116-28.282425</f>
        <v>169.69455000000002</v>
      </c>
      <c r="C122" s="29" t="s">
        <v>267</v>
      </c>
      <c r="D122" s="79" t="s">
        <v>37</v>
      </c>
      <c r="E122" s="79" t="s">
        <v>38</v>
      </c>
      <c r="F122" s="79" t="s">
        <v>29</v>
      </c>
      <c r="G122" s="79" t="s">
        <v>130</v>
      </c>
      <c r="H122" s="79" t="s">
        <v>33</v>
      </c>
      <c r="I122" s="79">
        <v>2</v>
      </c>
      <c r="J122" s="79">
        <f t="shared" si="3"/>
        <v>5.1340000562265296</v>
      </c>
      <c r="K122" s="79">
        <v>0.30331501776206199</v>
      </c>
      <c r="L122" s="79" t="s">
        <v>31</v>
      </c>
      <c r="M122" s="79" t="s">
        <v>31</v>
      </c>
      <c r="N122" s="79" t="s">
        <v>31</v>
      </c>
      <c r="O122" s="79" t="s">
        <v>264</v>
      </c>
      <c r="P122" s="102" t="s">
        <v>295</v>
      </c>
      <c r="Q122" t="s">
        <v>222</v>
      </c>
    </row>
    <row r="123" spans="1:24">
      <c r="A123" s="103" t="s">
        <v>252</v>
      </c>
      <c r="B123" s="123">
        <f>B116-28.282425</f>
        <v>169.69455000000002</v>
      </c>
      <c r="C123" s="123"/>
      <c r="D123" s="105" t="s">
        <v>37</v>
      </c>
      <c r="E123" s="105" t="s">
        <v>38</v>
      </c>
      <c r="F123" s="105" t="s">
        <v>29</v>
      </c>
      <c r="G123" s="105" t="s">
        <v>57</v>
      </c>
      <c r="H123" s="105" t="s">
        <v>269</v>
      </c>
      <c r="I123" s="105">
        <v>2</v>
      </c>
      <c r="J123" s="105">
        <f t="shared" si="3"/>
        <v>5.1340000562265296</v>
      </c>
      <c r="K123" s="105">
        <v>0.30331501776206199</v>
      </c>
      <c r="L123" s="105" t="s">
        <v>31</v>
      </c>
      <c r="M123" s="105" t="s">
        <v>31</v>
      </c>
      <c r="N123" s="105" t="s">
        <v>31</v>
      </c>
      <c r="O123" s="105" t="s">
        <v>264</v>
      </c>
      <c r="P123" s="106" t="s">
        <v>296</v>
      </c>
      <c r="Q123" t="s">
        <v>222</v>
      </c>
      <c r="S123" s="85" t="s">
        <v>233</v>
      </c>
    </row>
    <row r="124" spans="1:24">
      <c r="A124" t="s">
        <v>77</v>
      </c>
      <c r="B124" s="86">
        <v>7546.1052038904272</v>
      </c>
      <c r="C124" s="86"/>
      <c r="D124" t="s">
        <v>78</v>
      </c>
      <c r="E124" s="23" t="s">
        <v>38</v>
      </c>
      <c r="F124" s="23" t="s">
        <v>29</v>
      </c>
      <c r="G124" s="23" t="s">
        <v>57</v>
      </c>
      <c r="H124" s="23" t="s">
        <v>33</v>
      </c>
      <c r="I124">
        <v>2</v>
      </c>
      <c r="J124">
        <f t="shared" si="3"/>
        <v>8.9287868421035128</v>
      </c>
      <c r="K124">
        <v>0.28635642126552707</v>
      </c>
      <c r="L124" t="s">
        <v>31</v>
      </c>
      <c r="M124" t="s">
        <v>31</v>
      </c>
      <c r="N124" t="s">
        <v>31</v>
      </c>
      <c r="P124" s="23"/>
      <c r="Q124" t="s">
        <v>222</v>
      </c>
    </row>
    <row r="125" spans="1:24">
      <c r="A125" s="23" t="s">
        <v>80</v>
      </c>
      <c r="B125" s="86">
        <v>713.23756812194517</v>
      </c>
      <c r="C125" s="86"/>
      <c r="D125" s="23" t="s">
        <v>48</v>
      </c>
      <c r="E125" s="23" t="s">
        <v>38</v>
      </c>
      <c r="F125" s="23" t="s">
        <v>29</v>
      </c>
      <c r="G125" s="23" t="s">
        <v>235</v>
      </c>
      <c r="H125" s="23" t="s">
        <v>33</v>
      </c>
      <c r="I125">
        <v>2</v>
      </c>
      <c r="J125">
        <f t="shared" si="3"/>
        <v>6.5698145600390712</v>
      </c>
      <c r="K125">
        <v>0.28635642126552707</v>
      </c>
      <c r="L125" t="s">
        <v>31</v>
      </c>
      <c r="M125" t="s">
        <v>31</v>
      </c>
      <c r="N125" t="s">
        <v>31</v>
      </c>
      <c r="P125" s="23"/>
      <c r="Q125" t="s">
        <v>222</v>
      </c>
      <c r="R125" s="23"/>
      <c r="S125" s="89">
        <v>7588.0613090748848</v>
      </c>
      <c r="T125" s="23" t="s">
        <v>236</v>
      </c>
      <c r="U125" s="23">
        <f>S125/0.277778</f>
        <v>27316.998859070496</v>
      </c>
      <c r="V125" s="23" t="s">
        <v>237</v>
      </c>
      <c r="W125" s="23">
        <f>U125/38.3</f>
        <v>713.23756812194517</v>
      </c>
      <c r="X125" s="23" t="s">
        <v>238</v>
      </c>
    </row>
    <row r="126" spans="1:24">
      <c r="A126" s="29" t="s">
        <v>239</v>
      </c>
      <c r="B126" s="86">
        <v>3409.230505318435</v>
      </c>
      <c r="C126" s="86"/>
      <c r="D126" s="23" t="s">
        <v>172</v>
      </c>
      <c r="E126" s="23" t="s">
        <v>38</v>
      </c>
      <c r="F126" s="23" t="s">
        <v>29</v>
      </c>
      <c r="G126" s="23" t="s">
        <v>57</v>
      </c>
      <c r="H126" s="23" t="s">
        <v>33</v>
      </c>
      <c r="I126">
        <v>2</v>
      </c>
      <c r="J126">
        <f t="shared" si="3"/>
        <v>8.1342418865485175</v>
      </c>
      <c r="K126">
        <v>0.28635642126552707</v>
      </c>
      <c r="L126" t="s">
        <v>31</v>
      </c>
      <c r="M126" t="s">
        <v>31</v>
      </c>
      <c r="N126" t="s">
        <v>31</v>
      </c>
      <c r="P126" s="23"/>
      <c r="Q126" t="s">
        <v>222</v>
      </c>
      <c r="R126" s="29"/>
      <c r="S126" s="89">
        <v>947.0092313063443</v>
      </c>
      <c r="T126" s="23" t="s">
        <v>236</v>
      </c>
      <c r="U126" s="23">
        <f>S126/0.277778</f>
        <v>3409.230505318435</v>
      </c>
      <c r="V126" s="23" t="s">
        <v>237</v>
      </c>
    </row>
    <row r="127" spans="1:24">
      <c r="A127" s="29" t="s">
        <v>73</v>
      </c>
      <c r="B127" s="86">
        <v>161.34892338405228</v>
      </c>
      <c r="C127" s="86"/>
      <c r="D127" s="23" t="s">
        <v>37</v>
      </c>
      <c r="E127" s="23" t="s">
        <v>38</v>
      </c>
      <c r="F127" s="23" t="s">
        <v>29</v>
      </c>
      <c r="G127" s="23" t="s">
        <v>57</v>
      </c>
      <c r="H127" s="23" t="s">
        <v>33</v>
      </c>
      <c r="I127">
        <v>2</v>
      </c>
      <c r="J127">
        <f t="shared" si="3"/>
        <v>5.0835692459256769</v>
      </c>
      <c r="K127">
        <v>0.28635642126552707</v>
      </c>
      <c r="L127" t="s">
        <v>31</v>
      </c>
      <c r="M127" t="s">
        <v>31</v>
      </c>
      <c r="N127" t="s">
        <v>31</v>
      </c>
      <c r="P127" s="23"/>
      <c r="Q127" t="s">
        <v>222</v>
      </c>
      <c r="R127" s="29"/>
      <c r="S127" s="89">
        <v>2007.8993195419323</v>
      </c>
      <c r="T127" s="23" t="s">
        <v>236</v>
      </c>
      <c r="U127" s="23">
        <f>S127/0.277778</f>
        <v>7228.4317676055416</v>
      </c>
      <c r="V127" s="23" t="s">
        <v>237</v>
      </c>
      <c r="W127" s="23">
        <f>U127/44.8</f>
        <v>161.34892338405228</v>
      </c>
      <c r="X127" s="23" t="s">
        <v>240</v>
      </c>
    </row>
    <row r="128" spans="1:24">
      <c r="A128" s="29" t="s">
        <v>36</v>
      </c>
      <c r="B128" s="86">
        <v>318.52364576513401</v>
      </c>
      <c r="C128" s="86"/>
      <c r="D128" s="23" t="s">
        <v>37</v>
      </c>
      <c r="E128" s="23" t="s">
        <v>38</v>
      </c>
      <c r="F128" s="23" t="s">
        <v>29</v>
      </c>
      <c r="G128" s="23" t="s">
        <v>130</v>
      </c>
      <c r="H128" s="23" t="s">
        <v>33</v>
      </c>
      <c r="I128">
        <v>2</v>
      </c>
      <c r="J128">
        <f t="shared" si="3"/>
        <v>5.7636967132773185</v>
      </c>
      <c r="K128">
        <v>0.28635642126552707</v>
      </c>
      <c r="L128" t="s">
        <v>31</v>
      </c>
      <c r="M128" t="s">
        <v>31</v>
      </c>
      <c r="N128" t="s">
        <v>31</v>
      </c>
      <c r="P128" s="23"/>
      <c r="Q128" t="s">
        <v>222</v>
      </c>
      <c r="R128" s="29"/>
      <c r="S128" s="89">
        <v>4087.7233908286503</v>
      </c>
      <c r="T128" s="23" t="s">
        <v>236</v>
      </c>
      <c r="U128" s="23">
        <f>S128/0.277778</f>
        <v>14715.792434349192</v>
      </c>
      <c r="V128" s="23" t="s">
        <v>237</v>
      </c>
      <c r="W128" s="23">
        <f>U128/46.2</f>
        <v>318.52364576513401</v>
      </c>
      <c r="X128" s="23" t="s">
        <v>240</v>
      </c>
    </row>
    <row r="129" spans="1:24" s="91" customFormat="1">
      <c r="A129" s="73" t="s">
        <v>56</v>
      </c>
      <c r="B129" s="89">
        <v>1.9615825692280984</v>
      </c>
      <c r="C129" s="89"/>
      <c r="D129" s="23" t="s">
        <v>37</v>
      </c>
      <c r="E129" t="s">
        <v>2</v>
      </c>
      <c r="F129" s="23" t="s">
        <v>206</v>
      </c>
      <c r="G129" s="23" t="s">
        <v>57</v>
      </c>
      <c r="H129" s="23" t="s">
        <v>33</v>
      </c>
      <c r="I129" s="23">
        <v>2</v>
      </c>
      <c r="J129" s="23">
        <f t="shared" si="3"/>
        <v>0.67375158072317942</v>
      </c>
      <c r="K129">
        <v>0.28635642126552707</v>
      </c>
      <c r="L129" s="23" t="s">
        <v>31</v>
      </c>
      <c r="M129" s="23" t="s">
        <v>31</v>
      </c>
      <c r="N129" s="23" t="s">
        <v>31</v>
      </c>
      <c r="P129" s="23"/>
      <c r="Q129" t="s">
        <v>222</v>
      </c>
      <c r="R129" s="90"/>
      <c r="S129" s="89">
        <v>23.974917248261882</v>
      </c>
      <c r="T129" s="23" t="s">
        <v>236</v>
      </c>
      <c r="U129" s="23">
        <f>S129/0.277778</f>
        <v>86.309633046036325</v>
      </c>
      <c r="V129" s="23" t="s">
        <v>237</v>
      </c>
      <c r="W129" s="23">
        <f>U129/44</f>
        <v>1.9615825692280984</v>
      </c>
      <c r="X129" s="23" t="s">
        <v>240</v>
      </c>
    </row>
    <row r="130" spans="1:24">
      <c r="A130" t="s">
        <v>82</v>
      </c>
      <c r="B130" s="86">
        <f>18.4522351228316*997.42788</f>
        <v>18404.773759827462</v>
      </c>
      <c r="C130" s="86"/>
      <c r="D130" t="s">
        <v>37</v>
      </c>
      <c r="E130" t="s">
        <v>38</v>
      </c>
      <c r="F130" t="s">
        <v>29</v>
      </c>
      <c r="G130" t="s">
        <v>57</v>
      </c>
      <c r="H130" t="s">
        <v>33</v>
      </c>
      <c r="I130">
        <v>2</v>
      </c>
      <c r="J130">
        <f t="shared" si="3"/>
        <v>9.8203653534163244</v>
      </c>
      <c r="K130">
        <v>0.28635642126552707</v>
      </c>
      <c r="L130" t="s">
        <v>31</v>
      </c>
      <c r="M130" t="s">
        <v>31</v>
      </c>
      <c r="N130" t="s">
        <v>31</v>
      </c>
      <c r="O130" t="s">
        <v>241</v>
      </c>
      <c r="P130" s="23"/>
      <c r="Q130" t="s">
        <v>222</v>
      </c>
    </row>
    <row r="131" spans="1:24">
      <c r="A131" s="88" t="s">
        <v>242</v>
      </c>
      <c r="B131" s="86">
        <v>17.206486435153327</v>
      </c>
      <c r="C131" s="86"/>
      <c r="D131" s="23" t="s">
        <v>48</v>
      </c>
      <c r="E131" s="23" t="s">
        <v>38</v>
      </c>
      <c r="F131" s="23" t="s">
        <v>29</v>
      </c>
      <c r="G131" s="33" t="s">
        <v>130</v>
      </c>
      <c r="H131" s="23" t="s">
        <v>33</v>
      </c>
      <c r="I131">
        <v>2</v>
      </c>
      <c r="J131">
        <f t="shared" si="3"/>
        <v>2.8452864310510333</v>
      </c>
      <c r="K131">
        <v>0.28635642126552707</v>
      </c>
      <c r="L131" t="s">
        <v>31</v>
      </c>
      <c r="M131" t="s">
        <v>31</v>
      </c>
      <c r="N131" t="s">
        <v>31</v>
      </c>
      <c r="P131" s="23"/>
      <c r="Q131" t="s">
        <v>222</v>
      </c>
    </row>
    <row r="132" spans="1:24">
      <c r="A132" t="s">
        <v>243</v>
      </c>
      <c r="B132" s="86">
        <v>417.52318387848067</v>
      </c>
      <c r="C132" s="86"/>
      <c r="D132" t="s">
        <v>37</v>
      </c>
      <c r="E132" t="s">
        <v>38</v>
      </c>
      <c r="F132" t="s">
        <v>29</v>
      </c>
      <c r="G132" t="s">
        <v>130</v>
      </c>
      <c r="H132" t="s">
        <v>33</v>
      </c>
      <c r="I132">
        <v>2</v>
      </c>
      <c r="J132">
        <f t="shared" si="3"/>
        <v>6.0343400729970211</v>
      </c>
      <c r="K132">
        <v>0.28635642126552707</v>
      </c>
      <c r="L132" t="s">
        <v>31</v>
      </c>
      <c r="M132" t="s">
        <v>31</v>
      </c>
      <c r="N132" t="s">
        <v>31</v>
      </c>
      <c r="P132" s="23"/>
      <c r="Q132" t="s">
        <v>222</v>
      </c>
    </row>
    <row r="133" spans="1:24">
      <c r="A133" t="s">
        <v>46</v>
      </c>
      <c r="B133" s="86">
        <v>7844.1673688501305</v>
      </c>
      <c r="C133" s="86"/>
      <c r="D133" t="s">
        <v>37</v>
      </c>
      <c r="E133" t="s">
        <v>41</v>
      </c>
      <c r="F133" t="s">
        <v>42</v>
      </c>
      <c r="G133" t="s">
        <v>29</v>
      </c>
      <c r="H133" t="s">
        <v>43</v>
      </c>
      <c r="I133">
        <v>2</v>
      </c>
      <c r="J133">
        <f t="shared" si="3"/>
        <v>8.9675255242699041</v>
      </c>
      <c r="K133">
        <v>0.28635642126552707</v>
      </c>
      <c r="L133" t="s">
        <v>31</v>
      </c>
      <c r="M133" t="s">
        <v>31</v>
      </c>
      <c r="N133" t="s">
        <v>31</v>
      </c>
      <c r="P133" s="23"/>
      <c r="Q133" t="s">
        <v>222</v>
      </c>
    </row>
    <row r="134" spans="1:24">
      <c r="A134" t="s">
        <v>49</v>
      </c>
      <c r="B134" s="86">
        <v>8.3912210368916593E-2</v>
      </c>
      <c r="C134" s="86"/>
      <c r="D134" t="s">
        <v>37</v>
      </c>
      <c r="E134" t="s">
        <v>41</v>
      </c>
      <c r="F134" t="s">
        <v>42</v>
      </c>
      <c r="G134" t="s">
        <v>29</v>
      </c>
      <c r="H134" t="s">
        <v>43</v>
      </c>
      <c r="I134">
        <v>2</v>
      </c>
      <c r="J134">
        <f t="shared" si="3"/>
        <v>-2.4779841413077124</v>
      </c>
      <c r="K134">
        <v>0.28635642126552707</v>
      </c>
      <c r="L134" t="s">
        <v>31</v>
      </c>
      <c r="M134" t="s">
        <v>31</v>
      </c>
      <c r="N134" t="s">
        <v>31</v>
      </c>
      <c r="P134" s="23"/>
      <c r="Q134" t="s">
        <v>222</v>
      </c>
    </row>
    <row r="135" spans="1:24">
      <c r="A135" t="s">
        <v>40</v>
      </c>
      <c r="B135">
        <v>1.3306079072785344</v>
      </c>
      <c r="D135" t="s">
        <v>37</v>
      </c>
      <c r="E135" t="s">
        <v>41</v>
      </c>
      <c r="F135" t="s">
        <v>42</v>
      </c>
      <c r="G135" t="s">
        <v>29</v>
      </c>
      <c r="H135" t="s">
        <v>43</v>
      </c>
      <c r="I135">
        <v>2</v>
      </c>
      <c r="J135">
        <f t="shared" si="3"/>
        <v>0.28563591094930818</v>
      </c>
      <c r="K135">
        <v>0.28635642126552707</v>
      </c>
      <c r="L135" t="s">
        <v>31</v>
      </c>
      <c r="M135" t="s">
        <v>31</v>
      </c>
      <c r="N135" t="s">
        <v>31</v>
      </c>
      <c r="P135" s="23"/>
      <c r="Q135" t="s">
        <v>222</v>
      </c>
    </row>
    <row r="136" spans="1:24">
      <c r="A136" t="s">
        <v>245</v>
      </c>
      <c r="B136">
        <v>6.2994095069808091</v>
      </c>
      <c r="D136" t="s">
        <v>37</v>
      </c>
      <c r="E136" t="s">
        <v>41</v>
      </c>
      <c r="F136" t="s">
        <v>42</v>
      </c>
      <c r="G136" t="s">
        <v>29</v>
      </c>
      <c r="H136" t="s">
        <v>43</v>
      </c>
      <c r="I136">
        <v>2</v>
      </c>
      <c r="J136">
        <f t="shared" si="3"/>
        <v>1.8404558999539797</v>
      </c>
      <c r="K136">
        <v>0.28635642126552707</v>
      </c>
      <c r="L136" t="s">
        <v>31</v>
      </c>
      <c r="M136" t="s">
        <v>31</v>
      </c>
      <c r="N136" t="s">
        <v>31</v>
      </c>
      <c r="P136" s="23"/>
      <c r="Q136" t="s">
        <v>222</v>
      </c>
    </row>
    <row r="137" spans="1:24" s="28" customFormat="1">
      <c r="A137" s="82" t="s">
        <v>5</v>
      </c>
      <c r="B137" s="82" t="s">
        <v>230</v>
      </c>
      <c r="C137" s="82"/>
      <c r="D137" s="26"/>
      <c r="Q137" s="28" t="s">
        <v>222</v>
      </c>
      <c r="S137" s="83"/>
      <c r="T137" s="83"/>
      <c r="U137" s="83"/>
      <c r="V137" s="83"/>
      <c r="W137" s="83"/>
      <c r="X137" s="83"/>
    </row>
    <row r="138" spans="1:24">
      <c r="A138" t="s">
        <v>7</v>
      </c>
      <c r="B138" t="s">
        <v>223</v>
      </c>
      <c r="Q138" t="s">
        <v>222</v>
      </c>
    </row>
    <row r="139" spans="1:24">
      <c r="A139" t="s">
        <v>9</v>
      </c>
      <c r="B139" s="84" t="s">
        <v>297</v>
      </c>
      <c r="C139" s="23"/>
      <c r="Q139" t="s">
        <v>222</v>
      </c>
    </row>
    <row r="140" spans="1:24">
      <c r="A140" t="s">
        <v>11</v>
      </c>
      <c r="B140" t="s">
        <v>298</v>
      </c>
      <c r="Q140" t="s">
        <v>222</v>
      </c>
    </row>
    <row r="141" spans="1:24">
      <c r="A141" t="s">
        <v>13</v>
      </c>
      <c r="B141" t="s">
        <v>57</v>
      </c>
      <c r="Q141" t="s">
        <v>222</v>
      </c>
    </row>
    <row r="142" spans="1:24">
      <c r="A142" t="s">
        <v>15</v>
      </c>
      <c r="B142">
        <v>1</v>
      </c>
      <c r="Q142" t="s">
        <v>222</v>
      </c>
    </row>
    <row r="143" spans="1:24">
      <c r="A143" t="s">
        <v>16</v>
      </c>
      <c r="B143" t="s">
        <v>17</v>
      </c>
      <c r="Q143" t="s">
        <v>222</v>
      </c>
    </row>
    <row r="144" spans="1:24">
      <c r="A144" t="s">
        <v>18</v>
      </c>
      <c r="B144" t="s">
        <v>18</v>
      </c>
      <c r="E144" t="s">
        <v>226</v>
      </c>
      <c r="Q144" t="s">
        <v>222</v>
      </c>
    </row>
    <row r="145" spans="1:24">
      <c r="A145" s="76" t="s">
        <v>19</v>
      </c>
      <c r="Q145" t="s">
        <v>222</v>
      </c>
    </row>
    <row r="146" spans="1:24">
      <c r="A146" s="76" t="s">
        <v>20</v>
      </c>
      <c r="B146" s="76" t="s">
        <v>21</v>
      </c>
      <c r="C146" s="76" t="s">
        <v>209</v>
      </c>
      <c r="D146" s="76" t="s">
        <v>18</v>
      </c>
      <c r="E146" s="76" t="s">
        <v>22</v>
      </c>
      <c r="F146" s="76" t="s">
        <v>7</v>
      </c>
      <c r="G146" s="76" t="s">
        <v>13</v>
      </c>
      <c r="H146" s="76" t="s">
        <v>16</v>
      </c>
      <c r="I146" s="76" t="s">
        <v>23</v>
      </c>
      <c r="J146" s="76" t="s">
        <v>24</v>
      </c>
      <c r="K146" s="76" t="s">
        <v>25</v>
      </c>
      <c r="L146" s="76" t="s">
        <v>26</v>
      </c>
      <c r="M146" s="76" t="s">
        <v>27</v>
      </c>
      <c r="N146" s="76" t="s">
        <v>28</v>
      </c>
      <c r="O146" s="76" t="s">
        <v>11</v>
      </c>
      <c r="P146" s="85" t="s">
        <v>227</v>
      </c>
      <c r="Q146" t="s">
        <v>222</v>
      </c>
    </row>
    <row r="147" spans="1:24">
      <c r="A147" t="s">
        <v>230</v>
      </c>
      <c r="B147">
        <v>1</v>
      </c>
      <c r="D147" t="s">
        <v>18</v>
      </c>
      <c r="E147" t="s">
        <v>2</v>
      </c>
      <c r="F147" t="s">
        <v>29</v>
      </c>
      <c r="G147" t="s">
        <v>57</v>
      </c>
      <c r="H147" t="s">
        <v>30</v>
      </c>
      <c r="I147">
        <v>1</v>
      </c>
      <c r="J147">
        <v>1</v>
      </c>
      <c r="K147" t="s">
        <v>31</v>
      </c>
      <c r="L147" t="s">
        <v>31</v>
      </c>
      <c r="M147" t="s">
        <v>31</v>
      </c>
      <c r="N147" t="s">
        <v>31</v>
      </c>
      <c r="P147" s="23"/>
      <c r="Q147" t="s">
        <v>222</v>
      </c>
    </row>
    <row r="148" spans="1:24">
      <c r="A148" s="93" t="s">
        <v>299</v>
      </c>
      <c r="B148" s="81">
        <f>85.665075*8</f>
        <v>685.32060000000001</v>
      </c>
      <c r="C148" s="81"/>
      <c r="D148" s="81" t="s">
        <v>37</v>
      </c>
      <c r="E148" s="81" t="s">
        <v>38</v>
      </c>
      <c r="F148" s="81" t="s">
        <v>29</v>
      </c>
      <c r="G148" s="81" t="s">
        <v>57</v>
      </c>
      <c r="H148" s="81" t="s">
        <v>33</v>
      </c>
      <c r="I148" s="81">
        <v>2</v>
      </c>
      <c r="J148" s="81">
        <f t="shared" ref="J148:J167" si="5">LN(B148)</f>
        <v>6.5298867579678035</v>
      </c>
      <c r="K148" s="81">
        <v>0.30331501776206199</v>
      </c>
      <c r="L148" s="81" t="s">
        <v>31</v>
      </c>
      <c r="M148" s="81" t="s">
        <v>31</v>
      </c>
      <c r="N148" s="81" t="s">
        <v>31</v>
      </c>
      <c r="O148" s="81" t="s">
        <v>253</v>
      </c>
      <c r="P148" s="23" t="s">
        <v>300</v>
      </c>
      <c r="Q148" t="s">
        <v>222</v>
      </c>
    </row>
    <row r="149" spans="1:24">
      <c r="A149" s="93" t="s">
        <v>252</v>
      </c>
      <c r="B149" s="81">
        <f>28.555025*1.2</f>
        <v>34.266030000000001</v>
      </c>
      <c r="C149" s="81"/>
      <c r="D149" s="81" t="s">
        <v>37</v>
      </c>
      <c r="E149" s="81" t="s">
        <v>38</v>
      </c>
      <c r="F149" s="81" t="s">
        <v>29</v>
      </c>
      <c r="G149" s="81" t="s">
        <v>57</v>
      </c>
      <c r="H149" s="81" t="s">
        <v>33</v>
      </c>
      <c r="I149" s="81">
        <v>2</v>
      </c>
      <c r="J149" s="81">
        <f t="shared" si="5"/>
        <v>3.5341544844138122</v>
      </c>
      <c r="K149" s="81">
        <v>0.30331501776206199</v>
      </c>
      <c r="L149" s="81" t="s">
        <v>31</v>
      </c>
      <c r="M149" s="81" t="s">
        <v>31</v>
      </c>
      <c r="N149" s="81" t="s">
        <v>31</v>
      </c>
      <c r="O149" s="81" t="s">
        <v>253</v>
      </c>
      <c r="P149" s="23" t="s">
        <v>301</v>
      </c>
      <c r="Q149" t="s">
        <v>222</v>
      </c>
    </row>
    <row r="150" spans="1:24">
      <c r="A150" s="95" t="s">
        <v>302</v>
      </c>
      <c r="B150" s="97">
        <f>B148-85.665075</f>
        <v>599.65552500000001</v>
      </c>
      <c r="C150" s="97"/>
      <c r="D150" s="97" t="s">
        <v>37</v>
      </c>
      <c r="E150" s="97" t="s">
        <v>38</v>
      </c>
      <c r="F150" s="97" t="s">
        <v>29</v>
      </c>
      <c r="G150" s="97" t="s">
        <v>130</v>
      </c>
      <c r="H150" s="97" t="s">
        <v>33</v>
      </c>
      <c r="I150" s="97">
        <v>2</v>
      </c>
      <c r="J150" s="97">
        <f t="shared" si="5"/>
        <v>6.3963553653432808</v>
      </c>
      <c r="K150" s="97">
        <v>0.30331501776206199</v>
      </c>
      <c r="L150" s="97" t="s">
        <v>31</v>
      </c>
      <c r="M150" s="97" t="s">
        <v>31</v>
      </c>
      <c r="N150" s="97" t="s">
        <v>31</v>
      </c>
      <c r="O150" s="97" t="s">
        <v>264</v>
      </c>
      <c r="P150" s="98" t="s">
        <v>303</v>
      </c>
      <c r="Q150" t="s">
        <v>222</v>
      </c>
    </row>
    <row r="151" spans="1:24">
      <c r="A151" s="103" t="s">
        <v>299</v>
      </c>
      <c r="B151" s="105">
        <f>B148-85.665075</f>
        <v>599.65552500000001</v>
      </c>
      <c r="C151" s="105"/>
      <c r="D151" s="105" t="s">
        <v>37</v>
      </c>
      <c r="E151" s="105" t="s">
        <v>38</v>
      </c>
      <c r="F151" s="105" t="s">
        <v>29</v>
      </c>
      <c r="G151" s="105" t="s">
        <v>57</v>
      </c>
      <c r="H151" s="105" t="s">
        <v>269</v>
      </c>
      <c r="I151" s="105">
        <v>2</v>
      </c>
      <c r="J151" s="105">
        <f t="shared" si="5"/>
        <v>6.3963553653432808</v>
      </c>
      <c r="K151" s="105">
        <v>0.30331501776206199</v>
      </c>
      <c r="L151" s="105" t="s">
        <v>31</v>
      </c>
      <c r="M151" s="105" t="s">
        <v>31</v>
      </c>
      <c r="N151" s="105" t="s">
        <v>31</v>
      </c>
      <c r="O151" s="105" t="s">
        <v>264</v>
      </c>
      <c r="P151" s="106" t="s">
        <v>304</v>
      </c>
      <c r="Q151" t="s">
        <v>222</v>
      </c>
    </row>
    <row r="152" spans="1:24">
      <c r="A152" s="95" t="s">
        <v>263</v>
      </c>
      <c r="B152" s="97">
        <f>B149-28.555025</f>
        <v>5.7110050000000001</v>
      </c>
      <c r="C152" s="97"/>
      <c r="D152" s="97" t="s">
        <v>37</v>
      </c>
      <c r="E152" s="97" t="s">
        <v>38</v>
      </c>
      <c r="F152" s="97" t="s">
        <v>29</v>
      </c>
      <c r="G152" s="97" t="s">
        <v>130</v>
      </c>
      <c r="H152" s="97" t="s">
        <v>33</v>
      </c>
      <c r="I152" s="97">
        <v>2</v>
      </c>
      <c r="J152" s="97">
        <f t="shared" si="5"/>
        <v>1.742395015185757</v>
      </c>
      <c r="K152" s="97">
        <v>0.30331501776206199</v>
      </c>
      <c r="L152" s="97" t="s">
        <v>31</v>
      </c>
      <c r="M152" s="97" t="s">
        <v>31</v>
      </c>
      <c r="N152" s="97" t="s">
        <v>31</v>
      </c>
      <c r="O152" s="97" t="s">
        <v>264</v>
      </c>
      <c r="P152" s="98" t="s">
        <v>305</v>
      </c>
      <c r="Q152" t="s">
        <v>222</v>
      </c>
    </row>
    <row r="153" spans="1:24">
      <c r="A153" s="99" t="s">
        <v>266</v>
      </c>
      <c r="B153" s="79">
        <f>B149-28.555025</f>
        <v>5.7110050000000001</v>
      </c>
      <c r="C153" s="29" t="s">
        <v>267</v>
      </c>
      <c r="D153" s="79" t="s">
        <v>37</v>
      </c>
      <c r="E153" s="79" t="s">
        <v>38</v>
      </c>
      <c r="F153" s="79" t="s">
        <v>29</v>
      </c>
      <c r="G153" s="79" t="s">
        <v>130</v>
      </c>
      <c r="H153" s="79" t="s">
        <v>33</v>
      </c>
      <c r="I153" s="79">
        <v>2</v>
      </c>
      <c r="J153" s="79">
        <f t="shared" si="5"/>
        <v>1.742395015185757</v>
      </c>
      <c r="K153" s="79">
        <v>0.30331501776206199</v>
      </c>
      <c r="L153" s="79" t="s">
        <v>31</v>
      </c>
      <c r="M153" s="79" t="s">
        <v>31</v>
      </c>
      <c r="N153" s="79" t="s">
        <v>31</v>
      </c>
      <c r="O153" s="79" t="s">
        <v>264</v>
      </c>
      <c r="P153" s="102" t="s">
        <v>305</v>
      </c>
      <c r="Q153" t="s">
        <v>222</v>
      </c>
    </row>
    <row r="154" spans="1:24">
      <c r="A154" s="103" t="s">
        <v>252</v>
      </c>
      <c r="B154" s="105">
        <f>B149-28.555025</f>
        <v>5.7110050000000001</v>
      </c>
      <c r="C154" s="105"/>
      <c r="D154" s="105" t="s">
        <v>37</v>
      </c>
      <c r="E154" s="105" t="s">
        <v>38</v>
      </c>
      <c r="F154" s="105" t="s">
        <v>29</v>
      </c>
      <c r="G154" s="105" t="s">
        <v>57</v>
      </c>
      <c r="H154" s="105" t="s">
        <v>269</v>
      </c>
      <c r="I154" s="105">
        <v>2</v>
      </c>
      <c r="J154" s="105">
        <f t="shared" si="5"/>
        <v>1.742395015185757</v>
      </c>
      <c r="K154" s="105">
        <v>0.30331501776206199</v>
      </c>
      <c r="L154" s="105" t="s">
        <v>31</v>
      </c>
      <c r="M154" s="105" t="s">
        <v>31</v>
      </c>
      <c r="N154" s="105" t="s">
        <v>31</v>
      </c>
      <c r="O154" s="105" t="s">
        <v>264</v>
      </c>
      <c r="P154" s="106" t="s">
        <v>306</v>
      </c>
      <c r="Q154" t="s">
        <v>222</v>
      </c>
      <c r="S154" s="85" t="s">
        <v>233</v>
      </c>
    </row>
    <row r="155" spans="1:24">
      <c r="A155" t="s">
        <v>77</v>
      </c>
      <c r="B155" s="86">
        <v>4571.3029787874539</v>
      </c>
      <c r="C155" s="86"/>
      <c r="D155" t="s">
        <v>78</v>
      </c>
      <c r="E155" t="s">
        <v>38</v>
      </c>
      <c r="F155" t="s">
        <v>29</v>
      </c>
      <c r="G155" t="s">
        <v>57</v>
      </c>
      <c r="H155" t="s">
        <v>33</v>
      </c>
      <c r="I155">
        <v>2</v>
      </c>
      <c r="J155">
        <f t="shared" si="5"/>
        <v>8.4275535589589055</v>
      </c>
      <c r="K155">
        <v>0.28635642126552707</v>
      </c>
      <c r="L155" t="s">
        <v>31</v>
      </c>
      <c r="M155" t="s">
        <v>31</v>
      </c>
      <c r="N155" t="s">
        <v>31</v>
      </c>
      <c r="P155" s="23"/>
      <c r="Q155" t="s">
        <v>222</v>
      </c>
    </row>
    <row r="156" spans="1:24">
      <c r="A156" s="23" t="s">
        <v>80</v>
      </c>
      <c r="B156" s="86">
        <v>432.0672627328388</v>
      </c>
      <c r="C156" s="86"/>
      <c r="D156" s="23" t="s">
        <v>48</v>
      </c>
      <c r="E156" s="23" t="s">
        <v>38</v>
      </c>
      <c r="F156" s="23" t="s">
        <v>29</v>
      </c>
      <c r="G156" s="23" t="s">
        <v>235</v>
      </c>
      <c r="H156" s="23" t="s">
        <v>33</v>
      </c>
      <c r="I156">
        <v>2</v>
      </c>
      <c r="J156">
        <f t="shared" si="5"/>
        <v>6.0685812768944638</v>
      </c>
      <c r="K156">
        <v>0.28635642126552707</v>
      </c>
      <c r="L156" t="s">
        <v>31</v>
      </c>
      <c r="M156" t="s">
        <v>31</v>
      </c>
      <c r="N156" t="s">
        <v>31</v>
      </c>
      <c r="P156" s="23"/>
      <c r="Q156" t="s">
        <v>222</v>
      </c>
      <c r="R156" s="23"/>
      <c r="S156" s="89">
        <v>4596.7192781135154</v>
      </c>
      <c r="T156" s="23" t="s">
        <v>236</v>
      </c>
      <c r="U156" s="23">
        <f>S156/0.277778</f>
        <v>16548.176162667725</v>
      </c>
      <c r="V156" s="23" t="s">
        <v>237</v>
      </c>
      <c r="W156" s="23">
        <f>U156/38.3</f>
        <v>432.0672627328388</v>
      </c>
      <c r="X156" s="23" t="s">
        <v>238</v>
      </c>
    </row>
    <row r="157" spans="1:24">
      <c r="A157" s="29" t="s">
        <v>239</v>
      </c>
      <c r="B157" s="23">
        <v>2065.2542130343609</v>
      </c>
      <c r="C157" s="23"/>
      <c r="D157" s="23" t="s">
        <v>172</v>
      </c>
      <c r="E157" s="23" t="s">
        <v>38</v>
      </c>
      <c r="F157" s="23" t="s">
        <v>29</v>
      </c>
      <c r="G157" s="23" t="s">
        <v>57</v>
      </c>
      <c r="H157" s="23" t="s">
        <v>33</v>
      </c>
      <c r="I157">
        <v>2</v>
      </c>
      <c r="J157">
        <f t="shared" si="5"/>
        <v>7.6330086034039093</v>
      </c>
      <c r="K157">
        <v>0.28635642126552707</v>
      </c>
      <c r="L157" t="s">
        <v>31</v>
      </c>
      <c r="M157" t="s">
        <v>31</v>
      </c>
      <c r="N157" t="s">
        <v>31</v>
      </c>
      <c r="P157" s="23"/>
      <c r="Q157" t="s">
        <v>222</v>
      </c>
      <c r="R157" s="29"/>
      <c r="S157" s="89">
        <v>573.68218478825872</v>
      </c>
      <c r="T157" s="23" t="s">
        <v>236</v>
      </c>
      <c r="U157" s="23">
        <f>S157/0.277778</f>
        <v>2065.2542130343609</v>
      </c>
      <c r="V157" s="23" t="s">
        <v>237</v>
      </c>
    </row>
    <row r="158" spans="1:24">
      <c r="A158" s="29" t="s">
        <v>73</v>
      </c>
      <c r="B158" s="86">
        <v>97.742450464301371</v>
      </c>
      <c r="C158" s="86"/>
      <c r="D158" s="23" t="s">
        <v>37</v>
      </c>
      <c r="E158" s="23" t="s">
        <v>38</v>
      </c>
      <c r="F158" s="23" t="s">
        <v>29</v>
      </c>
      <c r="G158" s="23" t="s">
        <v>57</v>
      </c>
      <c r="H158" s="23" t="s">
        <v>33</v>
      </c>
      <c r="I158">
        <v>2</v>
      </c>
      <c r="J158">
        <f t="shared" si="5"/>
        <v>4.5823359627810696</v>
      </c>
      <c r="K158">
        <v>0.28635642126552707</v>
      </c>
      <c r="L158" t="s">
        <v>31</v>
      </c>
      <c r="M158" t="s">
        <v>31</v>
      </c>
      <c r="N158" t="s">
        <v>31</v>
      </c>
      <c r="P158" s="23"/>
      <c r="Q158" t="s">
        <v>222</v>
      </c>
      <c r="R158" s="29"/>
      <c r="S158" s="89">
        <v>1216.3514677472572</v>
      </c>
      <c r="T158" s="23" t="s">
        <v>236</v>
      </c>
      <c r="U158" s="23">
        <f>S158/0.277778</f>
        <v>4378.8617808007011</v>
      </c>
      <c r="V158" s="23" t="s">
        <v>237</v>
      </c>
      <c r="W158" s="23">
        <f>U158/44.8</f>
        <v>97.742450464301371</v>
      </c>
      <c r="X158" s="23" t="s">
        <v>240</v>
      </c>
    </row>
    <row r="159" spans="1:24">
      <c r="A159" s="29" t="s">
        <v>36</v>
      </c>
      <c r="B159" s="86">
        <v>192.95624051858096</v>
      </c>
      <c r="C159" s="86"/>
      <c r="D159" s="23" t="s">
        <v>37</v>
      </c>
      <c r="E159" s="23" t="s">
        <v>38</v>
      </c>
      <c r="F159" s="23" t="s">
        <v>29</v>
      </c>
      <c r="G159" s="23" t="s">
        <v>130</v>
      </c>
      <c r="H159" s="23" t="s">
        <v>33</v>
      </c>
      <c r="I159">
        <v>2</v>
      </c>
      <c r="J159">
        <f t="shared" si="5"/>
        <v>5.2624634301327111</v>
      </c>
      <c r="K159">
        <v>0.28635642126552707</v>
      </c>
      <c r="L159" t="s">
        <v>31</v>
      </c>
      <c r="M159" t="s">
        <v>31</v>
      </c>
      <c r="N159" t="s">
        <v>31</v>
      </c>
      <c r="P159" s="23"/>
      <c r="Q159" t="s">
        <v>222</v>
      </c>
      <c r="R159" s="29"/>
      <c r="S159" s="89">
        <v>2476.2737343391923</v>
      </c>
      <c r="T159" s="23" t="s">
        <v>236</v>
      </c>
      <c r="U159" s="23">
        <f>S159/0.277778</f>
        <v>8914.5783119584412</v>
      </c>
      <c r="V159" s="23" t="s">
        <v>237</v>
      </c>
      <c r="W159" s="23">
        <f>U159/46.2</f>
        <v>192.95624051858096</v>
      </c>
      <c r="X159" s="23" t="s">
        <v>240</v>
      </c>
    </row>
    <row r="160" spans="1:24" s="91" customFormat="1">
      <c r="A160" s="73" t="s">
        <v>56</v>
      </c>
      <c r="B160" s="89">
        <v>1.1882935633109097</v>
      </c>
      <c r="C160" s="89"/>
      <c r="D160" s="23" t="s">
        <v>37</v>
      </c>
      <c r="E160" t="s">
        <v>2</v>
      </c>
      <c r="F160" s="23" t="s">
        <v>206</v>
      </c>
      <c r="G160" s="23" t="s">
        <v>57</v>
      </c>
      <c r="H160" s="23" t="s">
        <v>33</v>
      </c>
      <c r="I160" s="23">
        <v>2</v>
      </c>
      <c r="J160" s="23">
        <f t="shared" si="5"/>
        <v>0.17251829757857204</v>
      </c>
      <c r="K160" s="23">
        <v>0.28635642126552707</v>
      </c>
      <c r="L160" s="23" t="s">
        <v>31</v>
      </c>
      <c r="M160" s="23" t="s">
        <v>31</v>
      </c>
      <c r="N160" s="23" t="s">
        <v>31</v>
      </c>
      <c r="O160" s="23"/>
      <c r="P160" s="23"/>
      <c r="Q160" t="s">
        <v>222</v>
      </c>
      <c r="R160" s="90"/>
      <c r="S160" s="89">
        <v>14.523599614892627</v>
      </c>
      <c r="T160" s="23" t="s">
        <v>236</v>
      </c>
      <c r="U160" s="23">
        <f>S160/0.277778</f>
        <v>52.284916785680025</v>
      </c>
      <c r="V160" s="23" t="s">
        <v>237</v>
      </c>
      <c r="W160" s="23">
        <f>U160/44</f>
        <v>1.1882935633109097</v>
      </c>
      <c r="X160" s="23" t="s">
        <v>240</v>
      </c>
    </row>
    <row r="161" spans="1:24">
      <c r="A161" t="s">
        <v>82</v>
      </c>
      <c r="B161" s="86">
        <f>11.1780521346031*997.42788</f>
        <v>11149.300843146644</v>
      </c>
      <c r="C161" s="86"/>
      <c r="D161" t="s">
        <v>37</v>
      </c>
      <c r="E161" t="s">
        <v>38</v>
      </c>
      <c r="F161" t="s">
        <v>29</v>
      </c>
      <c r="G161" t="s">
        <v>57</v>
      </c>
      <c r="H161" t="s">
        <v>33</v>
      </c>
      <c r="I161">
        <v>2</v>
      </c>
      <c r="J161">
        <f t="shared" si="5"/>
        <v>9.3191320702717206</v>
      </c>
      <c r="K161">
        <v>0.28635642126552707</v>
      </c>
      <c r="L161" t="s">
        <v>31</v>
      </c>
      <c r="M161" t="s">
        <v>31</v>
      </c>
      <c r="N161" t="s">
        <v>31</v>
      </c>
      <c r="O161" t="s">
        <v>241</v>
      </c>
      <c r="P161" s="23"/>
      <c r="Q161" t="s">
        <v>222</v>
      </c>
    </row>
    <row r="162" spans="1:24">
      <c r="A162" s="88" t="s">
        <v>242</v>
      </c>
      <c r="B162" s="86">
        <v>10.423398636813443</v>
      </c>
      <c r="C162" s="86"/>
      <c r="D162" s="23" t="s">
        <v>48</v>
      </c>
      <c r="E162" s="23" t="s">
        <v>38</v>
      </c>
      <c r="F162" s="23" t="s">
        <v>29</v>
      </c>
      <c r="G162" s="33" t="s">
        <v>130</v>
      </c>
      <c r="H162" s="23" t="s">
        <v>33</v>
      </c>
      <c r="I162">
        <v>2</v>
      </c>
      <c r="J162">
        <f t="shared" si="5"/>
        <v>2.3440531479064255</v>
      </c>
      <c r="K162">
        <v>0.28635642126552707</v>
      </c>
      <c r="L162" t="s">
        <v>31</v>
      </c>
      <c r="M162" t="s">
        <v>31</v>
      </c>
      <c r="N162" t="s">
        <v>31</v>
      </c>
      <c r="P162" s="23"/>
      <c r="Q162" t="s">
        <v>222</v>
      </c>
    </row>
    <row r="163" spans="1:24">
      <c r="A163" t="s">
        <v>243</v>
      </c>
      <c r="B163" s="86">
        <v>252.92848729335506</v>
      </c>
      <c r="C163" s="86"/>
      <c r="D163" t="s">
        <v>37</v>
      </c>
      <c r="E163" t="s">
        <v>38</v>
      </c>
      <c r="F163" t="s">
        <v>29</v>
      </c>
      <c r="G163" t="s">
        <v>130</v>
      </c>
      <c r="H163" t="s">
        <v>33</v>
      </c>
      <c r="I163">
        <v>2</v>
      </c>
      <c r="J163">
        <f t="shared" si="5"/>
        <v>5.5331067898524129</v>
      </c>
      <c r="K163">
        <v>0.28635642126552707</v>
      </c>
      <c r="L163" t="s">
        <v>31</v>
      </c>
      <c r="M163" t="s">
        <v>31</v>
      </c>
      <c r="N163" t="s">
        <v>31</v>
      </c>
      <c r="P163" s="23"/>
      <c r="Q163" t="s">
        <v>222</v>
      </c>
    </row>
    <row r="164" spans="1:24">
      <c r="A164" t="s">
        <v>46</v>
      </c>
      <c r="B164" s="86">
        <v>4751.864000099702</v>
      </c>
      <c r="C164" s="86"/>
      <c r="D164" t="s">
        <v>37</v>
      </c>
      <c r="E164" t="s">
        <v>41</v>
      </c>
      <c r="F164" t="s">
        <v>42</v>
      </c>
      <c r="G164" t="s">
        <v>29</v>
      </c>
      <c r="H164" t="s">
        <v>43</v>
      </c>
      <c r="I164">
        <v>2</v>
      </c>
      <c r="J164">
        <f t="shared" si="5"/>
        <v>8.4662922411252968</v>
      </c>
      <c r="K164">
        <v>0.28635642126552707</v>
      </c>
      <c r="L164" t="s">
        <v>31</v>
      </c>
      <c r="M164" t="s">
        <v>31</v>
      </c>
      <c r="N164" t="s">
        <v>31</v>
      </c>
      <c r="P164" s="23"/>
      <c r="Q164" t="s">
        <v>222</v>
      </c>
    </row>
    <row r="165" spans="1:24">
      <c r="A165" t="s">
        <v>49</v>
      </c>
      <c r="B165" s="86">
        <v>5.0832598652124188E-2</v>
      </c>
      <c r="C165" s="86"/>
      <c r="D165" t="s">
        <v>37</v>
      </c>
      <c r="E165" t="s">
        <v>41</v>
      </c>
      <c r="F165" t="s">
        <v>42</v>
      </c>
      <c r="G165" t="s">
        <v>29</v>
      </c>
      <c r="H165" t="s">
        <v>43</v>
      </c>
      <c r="I165">
        <v>2</v>
      </c>
      <c r="J165">
        <f t="shared" si="5"/>
        <v>-2.9792174244523202</v>
      </c>
      <c r="K165">
        <v>0.28635642126552707</v>
      </c>
      <c r="L165" t="s">
        <v>31</v>
      </c>
      <c r="M165" t="s">
        <v>31</v>
      </c>
      <c r="N165" t="s">
        <v>31</v>
      </c>
      <c r="P165" s="23"/>
      <c r="Q165" t="s">
        <v>222</v>
      </c>
    </row>
    <row r="166" spans="1:24">
      <c r="A166" t="s">
        <v>40</v>
      </c>
      <c r="B166">
        <v>0.80605977862654066</v>
      </c>
      <c r="D166" t="s">
        <v>37</v>
      </c>
      <c r="E166" t="s">
        <v>41</v>
      </c>
      <c r="F166" t="s">
        <v>42</v>
      </c>
      <c r="G166" t="s">
        <v>29</v>
      </c>
      <c r="H166" t="s">
        <v>43</v>
      </c>
      <c r="I166">
        <v>2</v>
      </c>
      <c r="J166">
        <f t="shared" si="5"/>
        <v>-0.21559737219529951</v>
      </c>
      <c r="K166">
        <v>0.28635642126552707</v>
      </c>
      <c r="L166" t="s">
        <v>31</v>
      </c>
      <c r="M166" t="s">
        <v>31</v>
      </c>
      <c r="N166" t="s">
        <v>31</v>
      </c>
      <c r="P166" s="23"/>
      <c r="Q166" t="s">
        <v>222</v>
      </c>
    </row>
    <row r="167" spans="1:24">
      <c r="A167" t="s">
        <v>245</v>
      </c>
      <c r="B167">
        <v>3.8160757988130372</v>
      </c>
      <c r="D167" t="s">
        <v>37</v>
      </c>
      <c r="E167" t="s">
        <v>41</v>
      </c>
      <c r="F167" t="s">
        <v>42</v>
      </c>
      <c r="G167" t="s">
        <v>29</v>
      </c>
      <c r="H167" t="s">
        <v>43</v>
      </c>
      <c r="I167">
        <v>2</v>
      </c>
      <c r="J167">
        <f t="shared" si="5"/>
        <v>1.3392226168093722</v>
      </c>
      <c r="K167">
        <v>0.28635642126552702</v>
      </c>
      <c r="L167" t="s">
        <v>31</v>
      </c>
      <c r="M167" t="s">
        <v>31</v>
      </c>
      <c r="N167" t="s">
        <v>31</v>
      </c>
      <c r="P167" s="23"/>
      <c r="Q167" t="s">
        <v>222</v>
      </c>
    </row>
    <row r="168" spans="1:24" s="28" customFormat="1">
      <c r="A168" s="82" t="s">
        <v>5</v>
      </c>
      <c r="B168" s="82" t="s">
        <v>231</v>
      </c>
      <c r="C168" s="82"/>
      <c r="D168" s="26"/>
      <c r="Q168" s="28" t="s">
        <v>222</v>
      </c>
      <c r="S168" s="83"/>
      <c r="T168" s="83"/>
      <c r="U168" s="83"/>
      <c r="V168" s="83"/>
      <c r="W168" s="83"/>
      <c r="X168" s="83"/>
    </row>
    <row r="169" spans="1:24">
      <c r="A169" t="s">
        <v>7</v>
      </c>
      <c r="B169" t="s">
        <v>223</v>
      </c>
      <c r="Q169" t="s">
        <v>222</v>
      </c>
    </row>
    <row r="170" spans="1:24">
      <c r="A170" t="s">
        <v>9</v>
      </c>
      <c r="B170" s="84" t="s">
        <v>307</v>
      </c>
      <c r="C170" s="23"/>
      <c r="Q170" t="s">
        <v>222</v>
      </c>
    </row>
    <row r="171" spans="1:24">
      <c r="A171" t="s">
        <v>11</v>
      </c>
      <c r="B171" t="s">
        <v>308</v>
      </c>
      <c r="Q171" t="s">
        <v>222</v>
      </c>
    </row>
    <row r="172" spans="1:24">
      <c r="A172" t="s">
        <v>13</v>
      </c>
      <c r="B172" t="s">
        <v>57</v>
      </c>
      <c r="Q172" t="s">
        <v>222</v>
      </c>
    </row>
    <row r="173" spans="1:24">
      <c r="A173" t="s">
        <v>15</v>
      </c>
      <c r="B173">
        <v>1</v>
      </c>
      <c r="Q173" t="s">
        <v>222</v>
      </c>
    </row>
    <row r="174" spans="1:24">
      <c r="A174" t="s">
        <v>16</v>
      </c>
      <c r="B174" t="s">
        <v>17</v>
      </c>
      <c r="Q174" t="s">
        <v>222</v>
      </c>
    </row>
    <row r="175" spans="1:24">
      <c r="A175" t="s">
        <v>18</v>
      </c>
      <c r="B175" t="s">
        <v>18</v>
      </c>
      <c r="E175" t="s">
        <v>226</v>
      </c>
      <c r="Q175" t="s">
        <v>222</v>
      </c>
    </row>
    <row r="176" spans="1:24">
      <c r="A176" s="76" t="s">
        <v>19</v>
      </c>
      <c r="Q176" t="s">
        <v>222</v>
      </c>
    </row>
    <row r="177" spans="1:24">
      <c r="A177" s="76" t="s">
        <v>20</v>
      </c>
      <c r="B177" s="76" t="s">
        <v>21</v>
      </c>
      <c r="C177" s="76" t="s">
        <v>209</v>
      </c>
      <c r="D177" s="76" t="s">
        <v>18</v>
      </c>
      <c r="E177" s="76" t="s">
        <v>22</v>
      </c>
      <c r="F177" s="76" t="s">
        <v>7</v>
      </c>
      <c r="G177" s="76" t="s">
        <v>13</v>
      </c>
      <c r="H177" s="76" t="s">
        <v>16</v>
      </c>
      <c r="I177" s="76" t="s">
        <v>23</v>
      </c>
      <c r="J177" s="76" t="s">
        <v>24</v>
      </c>
      <c r="K177" s="76" t="s">
        <v>25</v>
      </c>
      <c r="L177" s="76" t="s">
        <v>26</v>
      </c>
      <c r="M177" s="76" t="s">
        <v>27</v>
      </c>
      <c r="N177" s="76" t="s">
        <v>28</v>
      </c>
      <c r="O177" s="76" t="s">
        <v>11</v>
      </c>
      <c r="P177" s="85" t="s">
        <v>227</v>
      </c>
      <c r="Q177" t="s">
        <v>222</v>
      </c>
    </row>
    <row r="178" spans="1:24">
      <c r="A178" s="45" t="s">
        <v>231</v>
      </c>
      <c r="B178" s="118">
        <v>1</v>
      </c>
      <c r="C178" s="118"/>
      <c r="D178" t="s">
        <v>18</v>
      </c>
      <c r="E178" t="s">
        <v>2</v>
      </c>
      <c r="F178" t="s">
        <v>29</v>
      </c>
      <c r="G178" t="s">
        <v>57</v>
      </c>
      <c r="H178" t="s">
        <v>30</v>
      </c>
      <c r="I178">
        <v>1</v>
      </c>
      <c r="J178">
        <v>1</v>
      </c>
      <c r="K178" t="s">
        <v>31</v>
      </c>
      <c r="L178" t="s">
        <v>31</v>
      </c>
      <c r="M178" t="s">
        <v>31</v>
      </c>
      <c r="N178" t="s">
        <v>31</v>
      </c>
      <c r="Q178" t="s">
        <v>222</v>
      </c>
    </row>
    <row r="179" spans="1:24">
      <c r="A179" s="93" t="s">
        <v>288</v>
      </c>
      <c r="B179" s="126">
        <f>164.29575*1.5*0.2</f>
        <v>49.288724999999999</v>
      </c>
      <c r="C179" s="127"/>
      <c r="D179" s="81" t="s">
        <v>37</v>
      </c>
      <c r="E179" s="81" t="s">
        <v>38</v>
      </c>
      <c r="F179" s="81" t="s">
        <v>29</v>
      </c>
      <c r="G179" s="81" t="s">
        <v>57</v>
      </c>
      <c r="H179" s="81" t="s">
        <v>33</v>
      </c>
      <c r="I179" s="81">
        <v>2</v>
      </c>
      <c r="J179" s="81">
        <f t="shared" ref="J179:J200" si="6">LN(B179)</f>
        <v>3.8976953530668359</v>
      </c>
      <c r="K179" s="81">
        <v>0.30331501776206199</v>
      </c>
      <c r="L179" s="81" t="s">
        <v>31</v>
      </c>
      <c r="M179" s="81" t="s">
        <v>31</v>
      </c>
      <c r="N179" s="81" t="s">
        <v>31</v>
      </c>
      <c r="O179" s="81" t="s">
        <v>253</v>
      </c>
      <c r="P179" s="23" t="s">
        <v>309</v>
      </c>
      <c r="Q179" t="s">
        <v>222</v>
      </c>
    </row>
    <row r="180" spans="1:24">
      <c r="A180" s="93" t="s">
        <v>299</v>
      </c>
      <c r="B180" s="127">
        <f>164.29575*1.5*0.8</f>
        <v>197.1549</v>
      </c>
      <c r="C180" s="127"/>
      <c r="D180" s="81" t="s">
        <v>37</v>
      </c>
      <c r="E180" s="81" t="s">
        <v>38</v>
      </c>
      <c r="F180" s="81" t="s">
        <v>29</v>
      </c>
      <c r="G180" s="81" t="s">
        <v>57</v>
      </c>
      <c r="H180" s="81" t="s">
        <v>33</v>
      </c>
      <c r="I180" s="81">
        <v>2</v>
      </c>
      <c r="J180" s="81">
        <f t="shared" si="6"/>
        <v>5.2839897141867267</v>
      </c>
      <c r="K180" s="81">
        <v>0.30331501776206199</v>
      </c>
      <c r="L180" s="81" t="s">
        <v>31</v>
      </c>
      <c r="M180" s="81" t="s">
        <v>31</v>
      </c>
      <c r="N180" s="81" t="s">
        <v>31</v>
      </c>
      <c r="O180" s="81" t="s">
        <v>253</v>
      </c>
      <c r="P180" s="23" t="s">
        <v>310</v>
      </c>
      <c r="Q180" t="s">
        <v>222</v>
      </c>
    </row>
    <row r="181" spans="1:24">
      <c r="A181" s="93" t="s">
        <v>252</v>
      </c>
      <c r="B181" s="127">
        <f>164.29575*30</f>
        <v>4928.8724999999995</v>
      </c>
      <c r="C181" s="127"/>
      <c r="D181" s="81" t="s">
        <v>37</v>
      </c>
      <c r="E181" s="81" t="s">
        <v>38</v>
      </c>
      <c r="F181" s="81" t="s">
        <v>29</v>
      </c>
      <c r="G181" s="81" t="s">
        <v>57</v>
      </c>
      <c r="H181" s="81" t="s">
        <v>33</v>
      </c>
      <c r="I181" s="81">
        <v>2</v>
      </c>
      <c r="J181" s="81">
        <f t="shared" si="6"/>
        <v>8.5028655390549268</v>
      </c>
      <c r="K181" s="81">
        <v>0.30331501776206199</v>
      </c>
      <c r="L181" s="81" t="s">
        <v>31</v>
      </c>
      <c r="M181" s="81" t="s">
        <v>31</v>
      </c>
      <c r="N181" s="81" t="s">
        <v>31</v>
      </c>
      <c r="O181" s="81" t="s">
        <v>253</v>
      </c>
      <c r="P181" s="23" t="s">
        <v>311</v>
      </c>
      <c r="Q181" t="s">
        <v>222</v>
      </c>
    </row>
    <row r="182" spans="1:24" s="91" customFormat="1">
      <c r="A182" s="119" t="s">
        <v>292</v>
      </c>
      <c r="B182" s="128">
        <f>B179-164.29575*0.2</f>
        <v>16.429575</v>
      </c>
      <c r="C182" s="128"/>
      <c r="D182" s="121" t="s">
        <v>37</v>
      </c>
      <c r="E182" s="121" t="s">
        <v>38</v>
      </c>
      <c r="F182" s="121" t="s">
        <v>29</v>
      </c>
      <c r="G182" s="121" t="s">
        <v>130</v>
      </c>
      <c r="H182" s="121" t="s">
        <v>33</v>
      </c>
      <c r="I182" s="121">
        <v>2</v>
      </c>
      <c r="J182" s="121">
        <f t="shared" si="6"/>
        <v>2.7990830643987263</v>
      </c>
      <c r="K182" s="121">
        <v>0.30331501776206199</v>
      </c>
      <c r="L182" s="121" t="s">
        <v>31</v>
      </c>
      <c r="M182" s="121" t="s">
        <v>31</v>
      </c>
      <c r="N182" s="121" t="s">
        <v>31</v>
      </c>
      <c r="O182" s="121" t="s">
        <v>264</v>
      </c>
      <c r="P182" s="122" t="s">
        <v>293</v>
      </c>
      <c r="Q182" t="s">
        <v>222</v>
      </c>
      <c r="R182" s="23"/>
      <c r="S182" s="23"/>
      <c r="T182" s="23"/>
      <c r="U182" s="23"/>
      <c r="V182" s="23"/>
      <c r="W182" s="23"/>
      <c r="X182" s="23"/>
    </row>
    <row r="183" spans="1:24">
      <c r="A183" s="95" t="s">
        <v>302</v>
      </c>
      <c r="B183" s="129">
        <f>B180-164.29575*0.8</f>
        <v>65.718299999999999</v>
      </c>
      <c r="C183" s="129"/>
      <c r="D183" s="109" t="s">
        <v>37</v>
      </c>
      <c r="E183" s="109" t="s">
        <v>38</v>
      </c>
      <c r="F183" s="109" t="s">
        <v>29</v>
      </c>
      <c r="G183" s="109" t="s">
        <v>130</v>
      </c>
      <c r="H183" s="109" t="s">
        <v>33</v>
      </c>
      <c r="I183" s="109">
        <v>2</v>
      </c>
      <c r="J183" s="109">
        <f t="shared" si="6"/>
        <v>4.1853774255186167</v>
      </c>
      <c r="K183" s="109">
        <v>0.30331501776206199</v>
      </c>
      <c r="L183" s="109" t="s">
        <v>31</v>
      </c>
      <c r="M183" s="109" t="s">
        <v>31</v>
      </c>
      <c r="N183" s="109" t="s">
        <v>31</v>
      </c>
      <c r="O183" s="109" t="s">
        <v>264</v>
      </c>
      <c r="P183" s="98" t="s">
        <v>312</v>
      </c>
      <c r="Q183" t="s">
        <v>222</v>
      </c>
      <c r="R183" s="23"/>
    </row>
    <row r="184" spans="1:24">
      <c r="A184" s="103" t="s">
        <v>299</v>
      </c>
      <c r="B184" s="130">
        <f>B180-164.29575*0.8</f>
        <v>65.718299999999999</v>
      </c>
      <c r="C184" s="130"/>
      <c r="D184" s="114" t="s">
        <v>37</v>
      </c>
      <c r="E184" s="114" t="s">
        <v>38</v>
      </c>
      <c r="F184" s="114" t="s">
        <v>29</v>
      </c>
      <c r="G184" s="114" t="s">
        <v>57</v>
      </c>
      <c r="H184" s="114" t="s">
        <v>269</v>
      </c>
      <c r="I184" s="114">
        <v>2</v>
      </c>
      <c r="J184" s="114">
        <f t="shared" si="6"/>
        <v>4.1853774255186167</v>
      </c>
      <c r="K184" s="114">
        <v>0.30331501776206199</v>
      </c>
      <c r="L184" s="114" t="s">
        <v>31</v>
      </c>
      <c r="M184" s="114" t="s">
        <v>31</v>
      </c>
      <c r="N184" s="114" t="s">
        <v>31</v>
      </c>
      <c r="O184" s="114" t="s">
        <v>264</v>
      </c>
      <c r="P184" s="106" t="s">
        <v>313</v>
      </c>
      <c r="Q184" t="s">
        <v>222</v>
      </c>
      <c r="R184" s="23"/>
    </row>
    <row r="185" spans="1:24">
      <c r="A185" s="95" t="s">
        <v>263</v>
      </c>
      <c r="B185" s="129">
        <f>B181-164.29575</f>
        <v>4764.5767499999993</v>
      </c>
      <c r="C185" s="129"/>
      <c r="D185" s="109" t="s">
        <v>37</v>
      </c>
      <c r="E185" s="109" t="s">
        <v>38</v>
      </c>
      <c r="F185" s="109" t="s">
        <v>29</v>
      </c>
      <c r="G185" s="109" t="s">
        <v>130</v>
      </c>
      <c r="H185" s="109" t="s">
        <v>33</v>
      </c>
      <c r="I185" s="109">
        <v>2</v>
      </c>
      <c r="J185" s="109">
        <f t="shared" si="6"/>
        <v>8.4689639873792455</v>
      </c>
      <c r="K185" s="109">
        <v>0.30331501776206199</v>
      </c>
      <c r="L185" s="109" t="s">
        <v>31</v>
      </c>
      <c r="M185" s="109" t="s">
        <v>31</v>
      </c>
      <c r="N185" s="109" t="s">
        <v>31</v>
      </c>
      <c r="O185" s="109" t="s">
        <v>264</v>
      </c>
      <c r="P185" s="98" t="s">
        <v>314</v>
      </c>
      <c r="Q185" t="s">
        <v>222</v>
      </c>
      <c r="R185" s="23"/>
    </row>
    <row r="186" spans="1:24">
      <c r="A186" s="99" t="s">
        <v>266</v>
      </c>
      <c r="B186" s="116">
        <f>B181-164.29575</f>
        <v>4764.5767499999993</v>
      </c>
      <c r="C186" s="29" t="s">
        <v>267</v>
      </c>
      <c r="D186" s="78" t="s">
        <v>37</v>
      </c>
      <c r="E186" s="78" t="s">
        <v>38</v>
      </c>
      <c r="F186" s="78" t="s">
        <v>29</v>
      </c>
      <c r="G186" s="78" t="s">
        <v>130</v>
      </c>
      <c r="H186" s="78" t="s">
        <v>33</v>
      </c>
      <c r="I186" s="78">
        <v>2</v>
      </c>
      <c r="J186" s="78">
        <f t="shared" si="6"/>
        <v>8.4689639873792455</v>
      </c>
      <c r="K186" s="78">
        <v>0.30331501776206199</v>
      </c>
      <c r="L186" s="78" t="s">
        <v>31</v>
      </c>
      <c r="M186" s="78" t="s">
        <v>31</v>
      </c>
      <c r="N186" s="78" t="s">
        <v>31</v>
      </c>
      <c r="O186" s="78" t="s">
        <v>264</v>
      </c>
      <c r="P186" s="102" t="s">
        <v>314</v>
      </c>
      <c r="Q186" t="s">
        <v>222</v>
      </c>
      <c r="R186" s="23"/>
    </row>
    <row r="187" spans="1:24">
      <c r="A187" s="103" t="s">
        <v>252</v>
      </c>
      <c r="B187" s="131">
        <f>B181-164.29575</f>
        <v>4764.5767499999993</v>
      </c>
      <c r="C187" s="131"/>
      <c r="D187" s="105" t="s">
        <v>37</v>
      </c>
      <c r="E187" s="105" t="s">
        <v>38</v>
      </c>
      <c r="F187" s="105" t="s">
        <v>29</v>
      </c>
      <c r="G187" s="105" t="s">
        <v>57</v>
      </c>
      <c r="H187" s="105" t="s">
        <v>269</v>
      </c>
      <c r="I187" s="105">
        <v>2</v>
      </c>
      <c r="J187" s="105">
        <f t="shared" si="6"/>
        <v>8.4689639873792455</v>
      </c>
      <c r="K187" s="105">
        <v>0.30331501776206199</v>
      </c>
      <c r="L187" s="105" t="s">
        <v>31</v>
      </c>
      <c r="M187" s="105" t="s">
        <v>31</v>
      </c>
      <c r="N187" s="105" t="s">
        <v>31</v>
      </c>
      <c r="O187" s="105" t="s">
        <v>264</v>
      </c>
      <c r="P187" s="106" t="s">
        <v>315</v>
      </c>
      <c r="Q187" t="s">
        <v>222</v>
      </c>
      <c r="S187" s="85" t="s">
        <v>233</v>
      </c>
    </row>
    <row r="188" spans="1:24">
      <c r="A188" t="s">
        <v>77</v>
      </c>
      <c r="B188" s="86">
        <v>13150.849130356546</v>
      </c>
      <c r="C188" s="86"/>
      <c r="D188" t="s">
        <v>78</v>
      </c>
      <c r="E188" t="s">
        <v>38</v>
      </c>
      <c r="F188" t="s">
        <v>29</v>
      </c>
      <c r="G188" t="s">
        <v>57</v>
      </c>
      <c r="H188" t="s">
        <v>33</v>
      </c>
      <c r="I188">
        <v>2</v>
      </c>
      <c r="J188">
        <f t="shared" si="6"/>
        <v>9.4842416081718746</v>
      </c>
      <c r="K188">
        <v>0.28635642126552707</v>
      </c>
      <c r="L188" t="s">
        <v>31</v>
      </c>
      <c r="M188" t="s">
        <v>31</v>
      </c>
      <c r="N188" t="s">
        <v>31</v>
      </c>
      <c r="P188" s="23"/>
      <c r="Q188" t="s">
        <v>222</v>
      </c>
    </row>
    <row r="189" spans="1:24">
      <c r="A189" s="23" t="s">
        <v>80</v>
      </c>
      <c r="B189" s="132">
        <f>W189</f>
        <v>1242.9828897214902</v>
      </c>
      <c r="C189" s="132"/>
      <c r="D189" s="23" t="s">
        <v>48</v>
      </c>
      <c r="E189" s="23" t="s">
        <v>38</v>
      </c>
      <c r="F189" s="23" t="s">
        <v>29</v>
      </c>
      <c r="G189" s="23" t="s">
        <v>235</v>
      </c>
      <c r="H189" s="23" t="s">
        <v>33</v>
      </c>
      <c r="I189">
        <v>2</v>
      </c>
      <c r="J189">
        <f t="shared" si="6"/>
        <v>7.1252693261074329</v>
      </c>
      <c r="K189">
        <v>0.28635642126552707</v>
      </c>
      <c r="L189" t="s">
        <v>31</v>
      </c>
      <c r="M189" t="s">
        <v>31</v>
      </c>
      <c r="N189" t="s">
        <v>31</v>
      </c>
      <c r="P189" s="23"/>
      <c r="Q189" t="s">
        <v>222</v>
      </c>
      <c r="R189" s="23"/>
      <c r="S189" s="89">
        <v>13223.96743370245</v>
      </c>
      <c r="T189" s="23" t="s">
        <v>236</v>
      </c>
      <c r="U189" s="23">
        <f>S189/0.277778</f>
        <v>47606.244676333074</v>
      </c>
      <c r="V189" s="23" t="s">
        <v>237</v>
      </c>
      <c r="W189" s="23">
        <f>U189/38.3</f>
        <v>1242.9828897214902</v>
      </c>
      <c r="X189" s="23" t="s">
        <v>238</v>
      </c>
    </row>
    <row r="190" spans="1:24">
      <c r="A190" s="29" t="s">
        <v>239</v>
      </c>
      <c r="B190" s="132">
        <f>U190</f>
        <v>5941.3796673464658</v>
      </c>
      <c r="C190" s="132"/>
      <c r="D190" s="23" t="s">
        <v>172</v>
      </c>
      <c r="E190" s="23" t="s">
        <v>38</v>
      </c>
      <c r="F190" s="23" t="s">
        <v>29</v>
      </c>
      <c r="G190" s="23" t="s">
        <v>57</v>
      </c>
      <c r="H190" s="23" t="s">
        <v>33</v>
      </c>
      <c r="I190">
        <v>2</v>
      </c>
      <c r="J190">
        <f t="shared" si="6"/>
        <v>8.6896966526168775</v>
      </c>
      <c r="K190">
        <v>0.28635642126552707</v>
      </c>
      <c r="L190" t="s">
        <v>31</v>
      </c>
      <c r="M190" t="s">
        <v>31</v>
      </c>
      <c r="N190" t="s">
        <v>31</v>
      </c>
      <c r="P190" s="23"/>
      <c r="Q190" t="s">
        <v>222</v>
      </c>
      <c r="R190" s="29"/>
      <c r="S190" s="89">
        <v>1650.3845612361667</v>
      </c>
      <c r="T190" s="23" t="s">
        <v>236</v>
      </c>
      <c r="U190" s="23">
        <f>S190/0.277778</f>
        <v>5941.3796673464658</v>
      </c>
      <c r="V190" s="23" t="s">
        <v>237</v>
      </c>
    </row>
    <row r="191" spans="1:24">
      <c r="A191" s="29" t="s">
        <v>73</v>
      </c>
      <c r="B191" s="118">
        <f>W191</f>
        <v>281.18814824834232</v>
      </c>
      <c r="C191" s="118"/>
      <c r="D191" s="23" t="s">
        <v>37</v>
      </c>
      <c r="E191" s="23" t="s">
        <v>38</v>
      </c>
      <c r="F191" s="23" t="s">
        <v>29</v>
      </c>
      <c r="G191" s="23" t="s">
        <v>57</v>
      </c>
      <c r="H191" s="23" t="s">
        <v>33</v>
      </c>
      <c r="I191">
        <v>2</v>
      </c>
      <c r="J191">
        <f t="shared" si="6"/>
        <v>5.6390240119940387</v>
      </c>
      <c r="K191">
        <v>0.28635642126552707</v>
      </c>
      <c r="L191" t="s">
        <v>31</v>
      </c>
      <c r="M191" t="s">
        <v>31</v>
      </c>
      <c r="N191" t="s">
        <v>31</v>
      </c>
      <c r="P191" s="23"/>
      <c r="Q191" t="s">
        <v>222</v>
      </c>
      <c r="R191" s="29"/>
      <c r="S191" s="89">
        <v>3499.2330886969357</v>
      </c>
      <c r="T191" s="23" t="s">
        <v>236</v>
      </c>
      <c r="U191" s="23">
        <f>S191/0.277778</f>
        <v>12597.229041525734</v>
      </c>
      <c r="V191" s="23" t="s">
        <v>237</v>
      </c>
      <c r="W191" s="23">
        <f>U191/44.8</f>
        <v>281.18814824834232</v>
      </c>
      <c r="X191" s="23" t="s">
        <v>240</v>
      </c>
    </row>
    <row r="192" spans="1:24">
      <c r="A192" s="29" t="s">
        <v>36</v>
      </c>
      <c r="B192" s="118">
        <f t="shared" ref="B192:B193" si="7">W192</f>
        <v>555.10177723851848</v>
      </c>
      <c r="C192" s="118"/>
      <c r="D192" s="23" t="s">
        <v>37</v>
      </c>
      <c r="E192" s="23" t="s">
        <v>38</v>
      </c>
      <c r="F192" s="23" t="s">
        <v>29</v>
      </c>
      <c r="G192" s="23" t="s">
        <v>130</v>
      </c>
      <c r="H192" s="23" t="s">
        <v>33</v>
      </c>
      <c r="I192">
        <v>2</v>
      </c>
      <c r="J192">
        <f t="shared" si="6"/>
        <v>6.3191514793456802</v>
      </c>
      <c r="K192">
        <v>0.28635642126552707</v>
      </c>
      <c r="L192" t="s">
        <v>31</v>
      </c>
      <c r="M192" t="s">
        <v>31</v>
      </c>
      <c r="N192" t="s">
        <v>31</v>
      </c>
      <c r="P192" s="23"/>
      <c r="Q192" t="s">
        <v>222</v>
      </c>
      <c r="R192" s="29"/>
      <c r="S192" s="89">
        <v>7123.8118402725677</v>
      </c>
      <c r="T192" s="23" t="s">
        <v>236</v>
      </c>
      <c r="U192" s="23">
        <f>S192/0.277778</f>
        <v>25645.702108419555</v>
      </c>
      <c r="V192" s="23" t="s">
        <v>237</v>
      </c>
      <c r="W192" s="23">
        <f>U192/46.2</f>
        <v>555.10177723851848</v>
      </c>
      <c r="X192" s="23" t="s">
        <v>240</v>
      </c>
    </row>
    <row r="193" spans="1:24" s="91" customFormat="1">
      <c r="A193" s="73" t="s">
        <v>56</v>
      </c>
      <c r="B193" s="118">
        <f t="shared" si="7"/>
        <v>3.4185153436976212</v>
      </c>
      <c r="C193" s="89"/>
      <c r="D193" s="23" t="s">
        <v>37</v>
      </c>
      <c r="E193" t="s">
        <v>2</v>
      </c>
      <c r="F193" s="23" t="s">
        <v>206</v>
      </c>
      <c r="G193" s="23" t="s">
        <v>57</v>
      </c>
      <c r="H193" s="23" t="s">
        <v>33</v>
      </c>
      <c r="I193" s="23">
        <v>2</v>
      </c>
      <c r="J193" s="23">
        <f t="shared" si="6"/>
        <v>1.2292063467915411</v>
      </c>
      <c r="K193" s="23">
        <v>0.28635642126552707</v>
      </c>
      <c r="L193" s="23" t="s">
        <v>31</v>
      </c>
      <c r="M193" s="23" t="s">
        <v>31</v>
      </c>
      <c r="N193" s="23" t="s">
        <v>31</v>
      </c>
      <c r="P193" s="23"/>
      <c r="Q193" t="s">
        <v>222</v>
      </c>
      <c r="R193" s="90"/>
      <c r="S193" s="89">
        <v>41.78188762623207</v>
      </c>
      <c r="T193" s="23" t="s">
        <v>236</v>
      </c>
      <c r="U193" s="23">
        <f>S193/0.277778</f>
        <v>150.41467512269534</v>
      </c>
      <c r="V193" s="23" t="s">
        <v>237</v>
      </c>
      <c r="W193" s="23">
        <f>U193/44</f>
        <v>3.4185153436976212</v>
      </c>
      <c r="X193" s="23" t="s">
        <v>240</v>
      </c>
    </row>
    <row r="194" spans="1:24">
      <c r="A194" t="s">
        <v>82</v>
      </c>
      <c r="B194" s="86">
        <f>32.1573253568104*997.42788</f>
        <v>32074.612857113636</v>
      </c>
      <c r="C194" s="86"/>
      <c r="D194" t="s">
        <v>37</v>
      </c>
      <c r="E194" t="s">
        <v>38</v>
      </c>
      <c r="F194" t="s">
        <v>29</v>
      </c>
      <c r="G194" t="s">
        <v>57</v>
      </c>
      <c r="H194" t="s">
        <v>33</v>
      </c>
      <c r="I194">
        <v>2</v>
      </c>
      <c r="J194">
        <f t="shared" si="6"/>
        <v>10.375820119484686</v>
      </c>
      <c r="K194">
        <v>0.28635642126552707</v>
      </c>
      <c r="L194" t="s">
        <v>31</v>
      </c>
      <c r="M194" t="s">
        <v>31</v>
      </c>
      <c r="N194" t="s">
        <v>31</v>
      </c>
      <c r="O194" t="s">
        <v>241</v>
      </c>
      <c r="P194" s="23"/>
      <c r="Q194" t="s">
        <v>222</v>
      </c>
    </row>
    <row r="195" spans="1:24">
      <c r="A195" s="88" t="s">
        <v>242</v>
      </c>
      <c r="B195" s="86">
        <v>29.986317584807619</v>
      </c>
      <c r="C195" s="86"/>
      <c r="D195" s="23" t="s">
        <v>48</v>
      </c>
      <c r="E195" s="23" t="s">
        <v>38</v>
      </c>
      <c r="F195" s="23" t="s">
        <v>29</v>
      </c>
      <c r="G195" s="33" t="s">
        <v>130</v>
      </c>
      <c r="H195" s="23" t="s">
        <v>33</v>
      </c>
      <c r="I195">
        <v>2</v>
      </c>
      <c r="J195">
        <f t="shared" si="6"/>
        <v>3.4007411971193946</v>
      </c>
      <c r="K195">
        <v>0.28635642126552707</v>
      </c>
      <c r="L195" t="s">
        <v>31</v>
      </c>
      <c r="M195" t="s">
        <v>31</v>
      </c>
      <c r="N195" t="s">
        <v>31</v>
      </c>
      <c r="P195" s="23"/>
      <c r="Q195" t="s">
        <v>222</v>
      </c>
    </row>
    <row r="196" spans="1:24">
      <c r="A196" t="s">
        <v>243</v>
      </c>
      <c r="B196" s="86">
        <v>727.63157301083152</v>
      </c>
      <c r="C196" s="86"/>
      <c r="D196" t="s">
        <v>37</v>
      </c>
      <c r="E196" t="s">
        <v>38</v>
      </c>
      <c r="F196" t="s">
        <v>29</v>
      </c>
      <c r="G196" t="s">
        <v>130</v>
      </c>
      <c r="H196" t="s">
        <v>33</v>
      </c>
      <c r="I196">
        <v>2</v>
      </c>
      <c r="J196">
        <f t="shared" si="6"/>
        <v>6.5897948390653829</v>
      </c>
      <c r="K196">
        <v>0.28635642126552702</v>
      </c>
      <c r="L196" t="s">
        <v>31</v>
      </c>
      <c r="M196" t="s">
        <v>31</v>
      </c>
      <c r="N196" t="s">
        <v>31</v>
      </c>
      <c r="P196" s="23"/>
      <c r="Q196" t="s">
        <v>222</v>
      </c>
    </row>
    <row r="197" spans="1:24">
      <c r="A197" t="s">
        <v>46</v>
      </c>
      <c r="B197" s="86">
        <v>13670.292002797767</v>
      </c>
      <c r="C197" s="86"/>
      <c r="D197" t="s">
        <v>37</v>
      </c>
      <c r="E197" t="s">
        <v>41</v>
      </c>
      <c r="F197" t="s">
        <v>42</v>
      </c>
      <c r="G197" t="s">
        <v>29</v>
      </c>
      <c r="H197" t="s">
        <v>43</v>
      </c>
      <c r="I197">
        <v>2</v>
      </c>
      <c r="J197">
        <f t="shared" si="6"/>
        <v>9.5229802903382659</v>
      </c>
      <c r="K197">
        <v>0.28635642126552702</v>
      </c>
      <c r="L197" t="s">
        <v>31</v>
      </c>
      <c r="M197" t="s">
        <v>31</v>
      </c>
      <c r="N197" t="s">
        <v>31</v>
      </c>
      <c r="P197" s="23"/>
      <c r="Q197" t="s">
        <v>222</v>
      </c>
    </row>
    <row r="198" spans="1:24">
      <c r="A198" t="s">
        <v>49</v>
      </c>
      <c r="B198" s="86">
        <v>0.14623660669181227</v>
      </c>
      <c r="C198" s="86"/>
      <c r="D198" t="s">
        <v>37</v>
      </c>
      <c r="E198" t="s">
        <v>41</v>
      </c>
      <c r="F198" t="s">
        <v>42</v>
      </c>
      <c r="G198" t="s">
        <v>29</v>
      </c>
      <c r="H198" t="s">
        <v>43</v>
      </c>
      <c r="I198">
        <v>2</v>
      </c>
      <c r="J198">
        <f t="shared" si="6"/>
        <v>-1.9225293752393509</v>
      </c>
      <c r="K198">
        <v>0.28635642126552702</v>
      </c>
      <c r="L198" t="s">
        <v>31</v>
      </c>
      <c r="M198" t="s">
        <v>31</v>
      </c>
      <c r="N198" t="s">
        <v>31</v>
      </c>
      <c r="P198" s="23"/>
      <c r="Q198" t="s">
        <v>222</v>
      </c>
    </row>
    <row r="199" spans="1:24">
      <c r="A199" t="s">
        <v>40</v>
      </c>
      <c r="B199">
        <v>2.3188947632558796</v>
      </c>
      <c r="D199" t="s">
        <v>37</v>
      </c>
      <c r="E199" t="s">
        <v>41</v>
      </c>
      <c r="F199" t="s">
        <v>42</v>
      </c>
      <c r="G199" t="s">
        <v>29</v>
      </c>
      <c r="H199" t="s">
        <v>43</v>
      </c>
      <c r="I199">
        <v>2</v>
      </c>
      <c r="J199">
        <f t="shared" si="6"/>
        <v>0.8410906770176696</v>
      </c>
      <c r="K199">
        <v>0.28635642126552702</v>
      </c>
      <c r="L199" t="s">
        <v>31</v>
      </c>
      <c r="M199" t="s">
        <v>31</v>
      </c>
      <c r="N199" t="s">
        <v>31</v>
      </c>
      <c r="P199" s="23"/>
      <c r="Q199" t="s">
        <v>222</v>
      </c>
    </row>
    <row r="200" spans="1:24">
      <c r="A200" t="s">
        <v>245</v>
      </c>
      <c r="B200">
        <v>10.978190973792476</v>
      </c>
      <c r="D200" t="s">
        <v>37</v>
      </c>
      <c r="E200" t="s">
        <v>41</v>
      </c>
      <c r="F200" t="s">
        <v>42</v>
      </c>
      <c r="G200" t="s">
        <v>29</v>
      </c>
      <c r="H200" t="s">
        <v>43</v>
      </c>
      <c r="I200">
        <v>2</v>
      </c>
      <c r="J200">
        <f t="shared" si="6"/>
        <v>2.3959106660223415</v>
      </c>
      <c r="K200">
        <v>0.28635642126552702</v>
      </c>
      <c r="L200" t="s">
        <v>31</v>
      </c>
      <c r="M200" t="s">
        <v>31</v>
      </c>
      <c r="N200" t="s">
        <v>31</v>
      </c>
      <c r="P200" s="23"/>
      <c r="Q200" t="s">
        <v>222</v>
      </c>
    </row>
    <row r="201" spans="1:24" s="28" customFormat="1">
      <c r="A201" s="82" t="s">
        <v>5</v>
      </c>
      <c r="B201" s="82" t="s">
        <v>232</v>
      </c>
      <c r="C201" s="82"/>
      <c r="D201" s="26"/>
      <c r="Q201" s="28" t="s">
        <v>222</v>
      </c>
      <c r="S201" s="83"/>
      <c r="T201" s="83"/>
      <c r="U201" s="83"/>
      <c r="V201" s="83"/>
      <c r="W201" s="83"/>
      <c r="X201" s="83"/>
    </row>
    <row r="202" spans="1:24">
      <c r="A202" t="s">
        <v>7</v>
      </c>
      <c r="B202" t="s">
        <v>223</v>
      </c>
      <c r="Q202" t="s">
        <v>222</v>
      </c>
    </row>
    <row r="203" spans="1:24">
      <c r="A203" t="s">
        <v>9</v>
      </c>
      <c r="B203" s="84" t="s">
        <v>316</v>
      </c>
      <c r="C203" s="23"/>
      <c r="Q203" t="s">
        <v>222</v>
      </c>
    </row>
    <row r="204" spans="1:24">
      <c r="A204" t="s">
        <v>11</v>
      </c>
      <c r="B204" t="s">
        <v>317</v>
      </c>
      <c r="Q204" t="s">
        <v>222</v>
      </c>
    </row>
    <row r="205" spans="1:24">
      <c r="A205" t="s">
        <v>13</v>
      </c>
      <c r="B205" t="s">
        <v>57</v>
      </c>
      <c r="Q205" t="s">
        <v>222</v>
      </c>
    </row>
    <row r="206" spans="1:24">
      <c r="A206" t="s">
        <v>15</v>
      </c>
      <c r="B206">
        <v>1</v>
      </c>
      <c r="Q206" t="s">
        <v>222</v>
      </c>
    </row>
    <row r="207" spans="1:24">
      <c r="A207" t="s">
        <v>16</v>
      </c>
      <c r="B207" t="s">
        <v>17</v>
      </c>
      <c r="Q207" t="s">
        <v>222</v>
      </c>
    </row>
    <row r="208" spans="1:24">
      <c r="A208" t="s">
        <v>18</v>
      </c>
      <c r="B208" t="s">
        <v>18</v>
      </c>
      <c r="E208" t="s">
        <v>226</v>
      </c>
      <c r="Q208" t="s">
        <v>222</v>
      </c>
    </row>
    <row r="209" spans="1:24">
      <c r="A209" s="76" t="s">
        <v>19</v>
      </c>
      <c r="Q209" t="s">
        <v>222</v>
      </c>
    </row>
    <row r="210" spans="1:24">
      <c r="A210" s="76" t="s">
        <v>20</v>
      </c>
      <c r="B210" s="76" t="s">
        <v>21</v>
      </c>
      <c r="C210" s="76" t="s">
        <v>209</v>
      </c>
      <c r="D210" s="76" t="s">
        <v>18</v>
      </c>
      <c r="E210" s="76" t="s">
        <v>22</v>
      </c>
      <c r="F210" s="76" t="s">
        <v>7</v>
      </c>
      <c r="G210" s="76" t="s">
        <v>13</v>
      </c>
      <c r="H210" s="76" t="s">
        <v>16</v>
      </c>
      <c r="I210" s="76" t="s">
        <v>23</v>
      </c>
      <c r="J210" s="76" t="s">
        <v>24</v>
      </c>
      <c r="K210" s="76" t="s">
        <v>25</v>
      </c>
      <c r="L210" s="76" t="s">
        <v>26</v>
      </c>
      <c r="M210" s="76" t="s">
        <v>27</v>
      </c>
      <c r="N210" s="76" t="s">
        <v>28</v>
      </c>
      <c r="O210" s="76" t="s">
        <v>11</v>
      </c>
      <c r="P210" s="85" t="s">
        <v>227</v>
      </c>
      <c r="Q210" t="s">
        <v>222</v>
      </c>
    </row>
    <row r="211" spans="1:24">
      <c r="A211" s="45" t="s">
        <v>232</v>
      </c>
      <c r="B211">
        <v>1</v>
      </c>
      <c r="D211" t="s">
        <v>18</v>
      </c>
      <c r="E211" t="s">
        <v>2</v>
      </c>
      <c r="F211" t="s">
        <v>29</v>
      </c>
      <c r="G211" t="s">
        <v>57</v>
      </c>
      <c r="H211" t="s">
        <v>30</v>
      </c>
      <c r="I211">
        <v>1</v>
      </c>
      <c r="J211">
        <v>1</v>
      </c>
      <c r="K211" t="s">
        <v>31</v>
      </c>
      <c r="L211" t="s">
        <v>31</v>
      </c>
      <c r="M211" t="s">
        <v>31</v>
      </c>
      <c r="N211" t="s">
        <v>31</v>
      </c>
      <c r="Q211" t="s">
        <v>222</v>
      </c>
    </row>
    <row r="212" spans="1:24">
      <c r="A212" s="45" t="s">
        <v>318</v>
      </c>
      <c r="B212">
        <v>1</v>
      </c>
      <c r="D212" t="s">
        <v>18</v>
      </c>
      <c r="E212" t="s">
        <v>2</v>
      </c>
      <c r="F212" t="s">
        <v>29</v>
      </c>
      <c r="G212" t="s">
        <v>57</v>
      </c>
      <c r="H212" t="s">
        <v>33</v>
      </c>
      <c r="I212">
        <v>2</v>
      </c>
      <c r="J212">
        <f t="shared" ref="J212:J229" si="8">LN(B212)</f>
        <v>0</v>
      </c>
      <c r="K212">
        <v>0.30331501776206199</v>
      </c>
      <c r="L212" t="s">
        <v>31</v>
      </c>
      <c r="M212" t="s">
        <v>31</v>
      </c>
      <c r="N212" t="s">
        <v>31</v>
      </c>
      <c r="Q212" t="s">
        <v>222</v>
      </c>
    </row>
    <row r="213" spans="1:24">
      <c r="A213" s="45" t="s">
        <v>319</v>
      </c>
      <c r="B213">
        <v>1</v>
      </c>
      <c r="D213" t="s">
        <v>18</v>
      </c>
      <c r="E213" t="s">
        <v>2</v>
      </c>
      <c r="F213" t="s">
        <v>29</v>
      </c>
      <c r="G213" t="s">
        <v>57</v>
      </c>
      <c r="H213" t="s">
        <v>33</v>
      </c>
      <c r="I213">
        <v>2</v>
      </c>
      <c r="J213">
        <f t="shared" si="8"/>
        <v>0</v>
      </c>
      <c r="K213">
        <v>0.30331501776206199</v>
      </c>
      <c r="L213" t="s">
        <v>31</v>
      </c>
      <c r="M213" t="s">
        <v>31</v>
      </c>
      <c r="N213" t="s">
        <v>31</v>
      </c>
      <c r="Q213" t="s">
        <v>222</v>
      </c>
    </row>
    <row r="214" spans="1:24">
      <c r="A214" s="45" t="s">
        <v>320</v>
      </c>
      <c r="B214">
        <v>1</v>
      </c>
      <c r="D214" t="s">
        <v>18</v>
      </c>
      <c r="E214" t="s">
        <v>2</v>
      </c>
      <c r="F214" t="s">
        <v>29</v>
      </c>
      <c r="G214" t="s">
        <v>57</v>
      </c>
      <c r="H214" t="s">
        <v>33</v>
      </c>
      <c r="I214">
        <v>2</v>
      </c>
      <c r="J214">
        <f t="shared" si="8"/>
        <v>0</v>
      </c>
      <c r="K214">
        <v>0.30331501776206199</v>
      </c>
      <c r="L214" t="s">
        <v>31</v>
      </c>
      <c r="M214" t="s">
        <v>31</v>
      </c>
      <c r="N214" t="s">
        <v>31</v>
      </c>
      <c r="Q214" t="s">
        <v>222</v>
      </c>
    </row>
    <row r="215" spans="1:24">
      <c r="A215" s="45" t="s">
        <v>321</v>
      </c>
      <c r="B215">
        <v>1</v>
      </c>
      <c r="D215" t="s">
        <v>18</v>
      </c>
      <c r="E215" t="s">
        <v>2</v>
      </c>
      <c r="F215" t="s">
        <v>29</v>
      </c>
      <c r="G215" t="s">
        <v>57</v>
      </c>
      <c r="H215" t="s">
        <v>33</v>
      </c>
      <c r="I215">
        <v>2</v>
      </c>
      <c r="J215">
        <f>LN(B215)</f>
        <v>0</v>
      </c>
      <c r="K215">
        <v>0.30331501776206199</v>
      </c>
      <c r="L215" t="s">
        <v>31</v>
      </c>
      <c r="M215" t="s">
        <v>31</v>
      </c>
      <c r="N215" t="s">
        <v>31</v>
      </c>
      <c r="Q215" t="s">
        <v>222</v>
      </c>
    </row>
    <row r="216" spans="1:24">
      <c r="A216" s="45" t="s">
        <v>322</v>
      </c>
      <c r="B216">
        <v>1</v>
      </c>
      <c r="D216" t="s">
        <v>18</v>
      </c>
      <c r="E216" t="s">
        <v>2</v>
      </c>
      <c r="F216" t="s">
        <v>29</v>
      </c>
      <c r="G216" t="s">
        <v>57</v>
      </c>
      <c r="H216" t="s">
        <v>33</v>
      </c>
      <c r="I216">
        <v>2</v>
      </c>
      <c r="J216">
        <f t="shared" si="8"/>
        <v>0</v>
      </c>
      <c r="K216">
        <v>0.30331501776206199</v>
      </c>
      <c r="L216" t="s">
        <v>31</v>
      </c>
      <c r="M216" t="s">
        <v>31</v>
      </c>
      <c r="N216" t="s">
        <v>31</v>
      </c>
      <c r="Q216" t="s">
        <v>222</v>
      </c>
      <c r="S216" s="85" t="s">
        <v>233</v>
      </c>
    </row>
    <row r="217" spans="1:24">
      <c r="A217" s="23" t="s">
        <v>77</v>
      </c>
      <c r="B217" s="86">
        <v>4590.5094783398099</v>
      </c>
      <c r="C217" s="86"/>
      <c r="D217" t="s">
        <v>78</v>
      </c>
      <c r="E217" t="s">
        <v>38</v>
      </c>
      <c r="F217" t="s">
        <v>29</v>
      </c>
      <c r="G217" t="s">
        <v>57</v>
      </c>
      <c r="H217" t="s">
        <v>33</v>
      </c>
      <c r="I217">
        <v>2</v>
      </c>
      <c r="J217">
        <f t="shared" si="8"/>
        <v>8.4317462943544825</v>
      </c>
      <c r="K217">
        <v>0.28635642126552707</v>
      </c>
      <c r="L217" t="s">
        <v>31</v>
      </c>
      <c r="M217" t="s">
        <v>31</v>
      </c>
      <c r="N217" t="s">
        <v>31</v>
      </c>
      <c r="Q217" t="s">
        <v>222</v>
      </c>
    </row>
    <row r="218" spans="1:24">
      <c r="A218" s="23" t="s">
        <v>80</v>
      </c>
      <c r="B218" s="132">
        <f>W218</f>
        <v>433.88260941337478</v>
      </c>
      <c r="C218" s="23"/>
      <c r="D218" s="23" t="s">
        <v>48</v>
      </c>
      <c r="E218" s="23" t="s">
        <v>38</v>
      </c>
      <c r="F218" s="23" t="s">
        <v>29</v>
      </c>
      <c r="G218" s="23" t="s">
        <v>235</v>
      </c>
      <c r="H218" s="23" t="s">
        <v>33</v>
      </c>
      <c r="I218">
        <v>2</v>
      </c>
      <c r="J218">
        <f t="shared" si="8"/>
        <v>6.0727740122900409</v>
      </c>
      <c r="K218">
        <v>0.28635642126552707</v>
      </c>
      <c r="L218" t="s">
        <v>31</v>
      </c>
      <c r="M218" t="s">
        <v>31</v>
      </c>
      <c r="N218" t="s">
        <v>31</v>
      </c>
      <c r="Q218" t="s">
        <v>222</v>
      </c>
      <c r="R218" s="23"/>
      <c r="S218" s="89">
        <v>4616.0325651931689</v>
      </c>
      <c r="T218" s="23" t="s">
        <v>236</v>
      </c>
      <c r="U218" s="23">
        <f>S218/0.277778</f>
        <v>16617.703940532254</v>
      </c>
      <c r="V218" s="23" t="s">
        <v>237</v>
      </c>
      <c r="W218" s="23">
        <f>U218/38.3</f>
        <v>433.88260941337478</v>
      </c>
      <c r="X218" s="23" t="s">
        <v>238</v>
      </c>
    </row>
    <row r="219" spans="1:24">
      <c r="A219" s="29" t="s">
        <v>239</v>
      </c>
      <c r="B219" s="132">
        <f>U219</f>
        <v>2073.9314554534726</v>
      </c>
      <c r="D219" s="23" t="s">
        <v>172</v>
      </c>
      <c r="E219" s="23" t="s">
        <v>38</v>
      </c>
      <c r="F219" s="23" t="s">
        <v>29</v>
      </c>
      <c r="G219" s="23" t="s">
        <v>57</v>
      </c>
      <c r="H219" s="23" t="s">
        <v>33</v>
      </c>
      <c r="I219">
        <v>2</v>
      </c>
      <c r="J219">
        <f t="shared" si="8"/>
        <v>7.6372013387994864</v>
      </c>
      <c r="K219">
        <v>0.28635642126552707</v>
      </c>
      <c r="L219" t="s">
        <v>31</v>
      </c>
      <c r="M219" t="s">
        <v>31</v>
      </c>
      <c r="N219" t="s">
        <v>31</v>
      </c>
      <c r="Q219" t="s">
        <v>222</v>
      </c>
      <c r="R219" s="29"/>
      <c r="S219" s="89">
        <v>576.09253183295471</v>
      </c>
      <c r="T219" s="23" t="s">
        <v>236</v>
      </c>
      <c r="U219" s="23">
        <f>S219/0.277778</f>
        <v>2073.9314554534726</v>
      </c>
      <c r="V219" s="23" t="s">
        <v>237</v>
      </c>
    </row>
    <row r="220" spans="1:24">
      <c r="A220" s="29" t="s">
        <v>73</v>
      </c>
      <c r="B220" s="118">
        <f>W220</f>
        <v>98.153119006684179</v>
      </c>
      <c r="D220" s="23" t="s">
        <v>37</v>
      </c>
      <c r="E220" s="23" t="s">
        <v>38</v>
      </c>
      <c r="F220" s="23" t="s">
        <v>29</v>
      </c>
      <c r="G220" s="23" t="s">
        <v>57</v>
      </c>
      <c r="H220" s="23" t="s">
        <v>33</v>
      </c>
      <c r="I220">
        <v>2</v>
      </c>
      <c r="J220">
        <f t="shared" si="8"/>
        <v>4.5865286981766467</v>
      </c>
      <c r="K220">
        <v>0.28635642126552702</v>
      </c>
      <c r="L220" t="s">
        <v>31</v>
      </c>
      <c r="M220" t="s">
        <v>31</v>
      </c>
      <c r="N220" t="s">
        <v>31</v>
      </c>
      <c r="Q220" t="s">
        <v>222</v>
      </c>
      <c r="R220" s="29"/>
      <c r="S220" s="89">
        <v>1221.4620136964545</v>
      </c>
      <c r="T220" s="23" t="s">
        <v>236</v>
      </c>
      <c r="U220" s="23">
        <f>S220/0.277778</f>
        <v>4397.2597314994509</v>
      </c>
      <c r="V220" s="23" t="s">
        <v>237</v>
      </c>
      <c r="W220" s="23">
        <f>U220/44.8</f>
        <v>98.153119006684179</v>
      </c>
      <c r="X220" s="23" t="s">
        <v>240</v>
      </c>
    </row>
    <row r="221" spans="1:24">
      <c r="A221" s="29" t="s">
        <v>36</v>
      </c>
      <c r="B221" s="118">
        <f t="shared" ref="B221:B222" si="9">W221</f>
        <v>193.76695334254865</v>
      </c>
      <c r="D221" s="23" t="s">
        <v>37</v>
      </c>
      <c r="E221" s="23" t="s">
        <v>38</v>
      </c>
      <c r="F221" s="23" t="s">
        <v>29</v>
      </c>
      <c r="G221" s="23" t="s">
        <v>130</v>
      </c>
      <c r="H221" s="23" t="s">
        <v>33</v>
      </c>
      <c r="I221">
        <v>2</v>
      </c>
      <c r="J221">
        <f t="shared" si="8"/>
        <v>5.2666561655282882</v>
      </c>
      <c r="K221">
        <v>0.28635642126552702</v>
      </c>
      <c r="L221" t="s">
        <v>31</v>
      </c>
      <c r="M221" t="s">
        <v>31</v>
      </c>
      <c r="N221" t="s">
        <v>31</v>
      </c>
      <c r="Q221" t="s">
        <v>222</v>
      </c>
      <c r="R221" s="29"/>
      <c r="S221" s="89">
        <v>2486.6778905700953</v>
      </c>
      <c r="T221" s="23" t="s">
        <v>236</v>
      </c>
      <c r="U221" s="23">
        <f>S221/0.277778</f>
        <v>8952.0332444257474</v>
      </c>
      <c r="V221" s="23" t="s">
        <v>237</v>
      </c>
      <c r="W221" s="23">
        <f>U221/46.2</f>
        <v>193.76695334254865</v>
      </c>
      <c r="X221" s="23" t="s">
        <v>240</v>
      </c>
    </row>
    <row r="222" spans="1:24" s="91" customFormat="1">
      <c r="A222" s="73" t="s">
        <v>56</v>
      </c>
      <c r="B222" s="118">
        <f t="shared" si="9"/>
        <v>1.1932862229306516</v>
      </c>
      <c r="C222" s="89"/>
      <c r="D222" s="23" t="s">
        <v>37</v>
      </c>
      <c r="E222" t="s">
        <v>2</v>
      </c>
      <c r="F222" s="23" t="s">
        <v>206</v>
      </c>
      <c r="G222" s="23" t="s">
        <v>57</v>
      </c>
      <c r="H222" s="23" t="s">
        <v>33</v>
      </c>
      <c r="I222" s="23">
        <v>2</v>
      </c>
      <c r="J222" s="23">
        <f t="shared" si="8"/>
        <v>0.17671103297414875</v>
      </c>
      <c r="K222" s="23">
        <v>0.28635642126552702</v>
      </c>
      <c r="L222" s="23" t="s">
        <v>31</v>
      </c>
      <c r="M222" s="23" t="s">
        <v>31</v>
      </c>
      <c r="N222" s="23" t="s">
        <v>31</v>
      </c>
      <c r="Q222" t="s">
        <v>222</v>
      </c>
      <c r="R222" s="90"/>
      <c r="S222" s="89">
        <v>14.584621059062146</v>
      </c>
      <c r="T222" s="23" t="s">
        <v>236</v>
      </c>
      <c r="U222" s="23">
        <f>S222/0.277778</f>
        <v>52.50459380894867</v>
      </c>
      <c r="V222" s="23" t="s">
        <v>237</v>
      </c>
      <c r="W222" s="23">
        <f>U222/44</f>
        <v>1.1932862229306516</v>
      </c>
      <c r="X222" s="23" t="s">
        <v>240</v>
      </c>
    </row>
    <row r="223" spans="1:24">
      <c r="A223" t="s">
        <v>82</v>
      </c>
      <c r="B223" s="86">
        <v>11199.985348340013</v>
      </c>
      <c r="C223" s="86"/>
      <c r="D223" t="s">
        <v>37</v>
      </c>
      <c r="E223" t="s">
        <v>38</v>
      </c>
      <c r="F223" t="s">
        <v>29</v>
      </c>
      <c r="G223" t="s">
        <v>57</v>
      </c>
      <c r="H223" t="s">
        <v>33</v>
      </c>
      <c r="I223">
        <v>2</v>
      </c>
      <c r="J223">
        <f t="shared" si="8"/>
        <v>9.3236677490984032</v>
      </c>
      <c r="K223">
        <v>0.28635642126552702</v>
      </c>
      <c r="L223" t="s">
        <v>31</v>
      </c>
      <c r="M223" t="s">
        <v>31</v>
      </c>
      <c r="N223" t="s">
        <v>31</v>
      </c>
      <c r="Q223" t="s">
        <v>222</v>
      </c>
    </row>
    <row r="224" spans="1:24">
      <c r="A224" s="88" t="s">
        <v>242</v>
      </c>
      <c r="B224" s="86">
        <v>10.467192934015134</v>
      </c>
      <c r="C224" s="86"/>
      <c r="D224" s="23" t="s">
        <v>48</v>
      </c>
      <c r="E224" s="23" t="s">
        <v>38</v>
      </c>
      <c r="F224" s="23" t="s">
        <v>29</v>
      </c>
      <c r="G224" s="33" t="s">
        <v>130</v>
      </c>
      <c r="H224" s="23" t="s">
        <v>33</v>
      </c>
      <c r="I224">
        <v>2</v>
      </c>
      <c r="J224">
        <f t="shared" si="8"/>
        <v>2.3482458833020026</v>
      </c>
      <c r="K224">
        <v>0.28635642126552702</v>
      </c>
      <c r="L224" t="s">
        <v>31</v>
      </c>
      <c r="M224" t="s">
        <v>31</v>
      </c>
      <c r="N224" t="s">
        <v>31</v>
      </c>
      <c r="Q224" t="s">
        <v>222</v>
      </c>
    </row>
    <row r="225" spans="1:24">
      <c r="A225" t="s">
        <v>243</v>
      </c>
      <c r="B225" s="86">
        <v>253.99117574356725</v>
      </c>
      <c r="C225" s="86"/>
      <c r="D225" t="s">
        <v>37</v>
      </c>
      <c r="E225" t="s">
        <v>38</v>
      </c>
      <c r="F225" t="s">
        <v>29</v>
      </c>
      <c r="G225" t="s">
        <v>130</v>
      </c>
      <c r="H225" t="s">
        <v>33</v>
      </c>
      <c r="I225">
        <v>2</v>
      </c>
      <c r="J225">
        <f t="shared" si="8"/>
        <v>5.53729952524799</v>
      </c>
      <c r="K225">
        <v>0.28635642126552702</v>
      </c>
      <c r="L225" t="s">
        <v>31</v>
      </c>
      <c r="M225" t="s">
        <v>31</v>
      </c>
      <c r="N225" t="s">
        <v>31</v>
      </c>
      <c r="Q225" t="s">
        <v>222</v>
      </c>
    </row>
    <row r="226" spans="1:24">
      <c r="A226" t="s">
        <v>46</v>
      </c>
      <c r="B226" s="86">
        <v>4771.8291335013355</v>
      </c>
      <c r="C226" s="86"/>
      <c r="D226" t="s">
        <v>37</v>
      </c>
      <c r="E226" t="s">
        <v>41</v>
      </c>
      <c r="F226" t="s">
        <v>42</v>
      </c>
      <c r="G226" t="s">
        <v>29</v>
      </c>
      <c r="H226" t="s">
        <v>43</v>
      </c>
      <c r="I226">
        <v>2</v>
      </c>
      <c r="J226">
        <f t="shared" si="8"/>
        <v>8.4704849765208738</v>
      </c>
      <c r="K226">
        <v>0.28635642126552702</v>
      </c>
      <c r="L226" t="s">
        <v>31</v>
      </c>
      <c r="M226" t="s">
        <v>31</v>
      </c>
      <c r="N226" t="s">
        <v>31</v>
      </c>
      <c r="Q226" t="s">
        <v>222</v>
      </c>
    </row>
    <row r="227" spans="1:24">
      <c r="A227" t="s">
        <v>49</v>
      </c>
      <c r="B227" s="86">
        <v>5.1046173706717511E-2</v>
      </c>
      <c r="C227" s="86"/>
      <c r="D227" t="s">
        <v>37</v>
      </c>
      <c r="E227" t="s">
        <v>41</v>
      </c>
      <c r="F227" t="s">
        <v>42</v>
      </c>
      <c r="G227" t="s">
        <v>29</v>
      </c>
      <c r="H227" t="s">
        <v>43</v>
      </c>
      <c r="I227">
        <v>2</v>
      </c>
      <c r="J227">
        <f t="shared" si="8"/>
        <v>-2.9750246890567431</v>
      </c>
      <c r="K227">
        <v>0.28635642126552702</v>
      </c>
      <c r="L227" t="s">
        <v>31</v>
      </c>
      <c r="M227" t="s">
        <v>31</v>
      </c>
      <c r="N227" t="s">
        <v>31</v>
      </c>
      <c r="Q227" t="s">
        <v>222</v>
      </c>
    </row>
    <row r="228" spans="1:24">
      <c r="A228" t="s">
        <v>40</v>
      </c>
      <c r="B228">
        <v>0.80944646877794901</v>
      </c>
      <c r="D228" t="s">
        <v>37</v>
      </c>
      <c r="E228" t="s">
        <v>41</v>
      </c>
      <c r="F228" t="s">
        <v>42</v>
      </c>
      <c r="G228" t="s">
        <v>29</v>
      </c>
      <c r="H228" t="s">
        <v>43</v>
      </c>
      <c r="I228">
        <v>2</v>
      </c>
      <c r="J228">
        <f t="shared" si="8"/>
        <v>-0.21140463679972257</v>
      </c>
      <c r="K228">
        <v>0.28635642126552702</v>
      </c>
      <c r="L228" t="s">
        <v>31</v>
      </c>
      <c r="M228" t="s">
        <v>31</v>
      </c>
      <c r="N228" t="s">
        <v>31</v>
      </c>
      <c r="Q228" t="s">
        <v>222</v>
      </c>
    </row>
    <row r="229" spans="1:24">
      <c r="A229" t="s">
        <v>245</v>
      </c>
      <c r="B229">
        <v>3.8321091832685785</v>
      </c>
      <c r="D229" t="s">
        <v>37</v>
      </c>
      <c r="E229" t="s">
        <v>41</v>
      </c>
      <c r="F229" t="s">
        <v>42</v>
      </c>
      <c r="G229" t="s">
        <v>29</v>
      </c>
      <c r="H229" t="s">
        <v>43</v>
      </c>
      <c r="I229">
        <v>2</v>
      </c>
      <c r="J229">
        <f t="shared" si="8"/>
        <v>1.3434153522049492</v>
      </c>
      <c r="K229">
        <v>0.28635642126552702</v>
      </c>
      <c r="L229" t="s">
        <v>31</v>
      </c>
      <c r="M229" t="s">
        <v>31</v>
      </c>
      <c r="N229" t="s">
        <v>31</v>
      </c>
      <c r="Q229" t="s">
        <v>222</v>
      </c>
    </row>
    <row r="230" spans="1:24" s="28" customFormat="1">
      <c r="A230" s="82" t="s">
        <v>5</v>
      </c>
      <c r="B230" s="82" t="s">
        <v>318</v>
      </c>
      <c r="C230" s="82"/>
      <c r="D230" s="26"/>
      <c r="Q230" s="28" t="s">
        <v>222</v>
      </c>
      <c r="S230" s="83"/>
      <c r="T230" s="83"/>
      <c r="U230" s="83"/>
      <c r="V230" s="83"/>
      <c r="W230" s="83"/>
      <c r="X230" s="83"/>
    </row>
    <row r="231" spans="1:24">
      <c r="A231" t="s">
        <v>7</v>
      </c>
      <c r="B231" t="s">
        <v>223</v>
      </c>
      <c r="Q231" t="s">
        <v>222</v>
      </c>
    </row>
    <row r="232" spans="1:24">
      <c r="A232" t="s">
        <v>9</v>
      </c>
      <c r="B232" s="84" t="s">
        <v>323</v>
      </c>
      <c r="C232" s="23"/>
      <c r="Q232" t="s">
        <v>222</v>
      </c>
    </row>
    <row r="233" spans="1:24">
      <c r="A233" t="s">
        <v>11</v>
      </c>
      <c r="B233" t="s">
        <v>324</v>
      </c>
      <c r="Q233" t="s">
        <v>222</v>
      </c>
    </row>
    <row r="234" spans="1:24">
      <c r="A234" t="s">
        <v>13</v>
      </c>
      <c r="B234" t="s">
        <v>57</v>
      </c>
      <c r="Q234" t="s">
        <v>222</v>
      </c>
    </row>
    <row r="235" spans="1:24">
      <c r="A235" t="s">
        <v>15</v>
      </c>
      <c r="B235">
        <v>1</v>
      </c>
      <c r="Q235" t="s">
        <v>222</v>
      </c>
    </row>
    <row r="236" spans="1:24">
      <c r="A236" t="s">
        <v>16</v>
      </c>
      <c r="B236" t="s">
        <v>17</v>
      </c>
      <c r="Q236" t="s">
        <v>222</v>
      </c>
    </row>
    <row r="237" spans="1:24">
      <c r="A237" t="s">
        <v>18</v>
      </c>
      <c r="B237" t="s">
        <v>18</v>
      </c>
      <c r="E237" t="s">
        <v>226</v>
      </c>
      <c r="Q237" t="s">
        <v>222</v>
      </c>
    </row>
    <row r="238" spans="1:24">
      <c r="A238" s="76" t="s">
        <v>19</v>
      </c>
      <c r="Q238" t="s">
        <v>222</v>
      </c>
    </row>
    <row r="239" spans="1:24">
      <c r="A239" s="76" t="s">
        <v>20</v>
      </c>
      <c r="B239" s="76" t="s">
        <v>21</v>
      </c>
      <c r="C239" s="76" t="s">
        <v>209</v>
      </c>
      <c r="D239" s="76" t="s">
        <v>18</v>
      </c>
      <c r="E239" s="76" t="s">
        <v>22</v>
      </c>
      <c r="F239" s="76" t="s">
        <v>7</v>
      </c>
      <c r="G239" s="76" t="s">
        <v>13</v>
      </c>
      <c r="H239" s="76" t="s">
        <v>16</v>
      </c>
      <c r="I239" s="76" t="s">
        <v>23</v>
      </c>
      <c r="J239" s="76" t="s">
        <v>24</v>
      </c>
      <c r="K239" s="76" t="s">
        <v>25</v>
      </c>
      <c r="L239" s="76" t="s">
        <v>26</v>
      </c>
      <c r="M239" s="76" t="s">
        <v>27</v>
      </c>
      <c r="N239" s="76" t="s">
        <v>28</v>
      </c>
      <c r="O239" s="76" t="s">
        <v>11</v>
      </c>
      <c r="P239" s="85" t="s">
        <v>227</v>
      </c>
      <c r="Q239" t="s">
        <v>222</v>
      </c>
    </row>
    <row r="240" spans="1:24">
      <c r="A240" s="45" t="s">
        <v>318</v>
      </c>
      <c r="B240">
        <v>1</v>
      </c>
      <c r="D240" t="s">
        <v>18</v>
      </c>
      <c r="E240" t="s">
        <v>2</v>
      </c>
      <c r="F240" t="s">
        <v>29</v>
      </c>
      <c r="G240" t="s">
        <v>57</v>
      </c>
      <c r="H240" t="s">
        <v>30</v>
      </c>
      <c r="I240">
        <v>1</v>
      </c>
      <c r="J240">
        <v>1</v>
      </c>
      <c r="K240" t="s">
        <v>31</v>
      </c>
      <c r="L240" t="s">
        <v>31</v>
      </c>
      <c r="M240" t="s">
        <v>31</v>
      </c>
      <c r="N240" t="s">
        <v>31</v>
      </c>
      <c r="Q240" t="s">
        <v>222</v>
      </c>
    </row>
    <row r="241" spans="1:24">
      <c r="A241" s="93" t="s">
        <v>299</v>
      </c>
      <c r="B241" s="133">
        <f>22.947898001719*15</f>
        <v>344.218470025785</v>
      </c>
      <c r="C241" s="81"/>
      <c r="D241" s="81" t="s">
        <v>37</v>
      </c>
      <c r="E241" s="81" t="s">
        <v>38</v>
      </c>
      <c r="F241" s="81" t="s">
        <v>29</v>
      </c>
      <c r="G241" s="81" t="s">
        <v>57</v>
      </c>
      <c r="H241" s="81" t="s">
        <v>33</v>
      </c>
      <c r="I241" s="81">
        <v>2</v>
      </c>
      <c r="J241" s="81">
        <f t="shared" ref="J241:J256" si="10">LN(B241)</f>
        <v>5.8412765430750717</v>
      </c>
      <c r="K241" s="81">
        <v>0.30331501776206199</v>
      </c>
      <c r="L241" s="81" t="s">
        <v>31</v>
      </c>
      <c r="M241" s="81" t="s">
        <v>31</v>
      </c>
      <c r="N241" s="81" t="s">
        <v>31</v>
      </c>
      <c r="O241" s="81" t="s">
        <v>253</v>
      </c>
      <c r="P241" s="23" t="s">
        <v>325</v>
      </c>
      <c r="Q241" t="s">
        <v>222</v>
      </c>
    </row>
    <row r="242" spans="1:24">
      <c r="A242" s="134" t="s">
        <v>302</v>
      </c>
      <c r="B242" s="79">
        <v>321.16000000000003</v>
      </c>
      <c r="C242" s="79"/>
      <c r="D242" s="79" t="s">
        <v>37</v>
      </c>
      <c r="E242" s="79" t="s">
        <v>38</v>
      </c>
      <c r="F242" s="79" t="s">
        <v>29</v>
      </c>
      <c r="G242" s="79" t="s">
        <v>130</v>
      </c>
      <c r="H242" s="79" t="s">
        <v>33</v>
      </c>
      <c r="I242" s="79">
        <v>2</v>
      </c>
      <c r="J242" s="79">
        <f t="shared" si="10"/>
        <v>5.7719394413164835</v>
      </c>
      <c r="K242" s="79">
        <v>0.30331501776206199</v>
      </c>
      <c r="L242" s="79" t="s">
        <v>31</v>
      </c>
      <c r="M242" s="79" t="s">
        <v>31</v>
      </c>
      <c r="N242" s="79" t="s">
        <v>31</v>
      </c>
      <c r="O242" s="79" t="s">
        <v>264</v>
      </c>
      <c r="P242" s="23" t="s">
        <v>312</v>
      </c>
      <c r="Q242" t="s">
        <v>222</v>
      </c>
    </row>
    <row r="243" spans="1:24">
      <c r="A243" s="134" t="s">
        <v>299</v>
      </c>
      <c r="B243" s="79">
        <v>321.16000000000003</v>
      </c>
      <c r="C243" s="79"/>
      <c r="D243" s="79" t="s">
        <v>37</v>
      </c>
      <c r="E243" s="79" t="s">
        <v>38</v>
      </c>
      <c r="F243" s="79" t="s">
        <v>29</v>
      </c>
      <c r="G243" s="79" t="s">
        <v>57</v>
      </c>
      <c r="H243" s="79" t="s">
        <v>269</v>
      </c>
      <c r="I243" s="79">
        <v>2</v>
      </c>
      <c r="J243" s="79">
        <f t="shared" si="10"/>
        <v>5.7719394413164835</v>
      </c>
      <c r="K243" s="79">
        <v>0.30331501776206199</v>
      </c>
      <c r="L243" s="79" t="s">
        <v>31</v>
      </c>
      <c r="M243" s="79" t="s">
        <v>31</v>
      </c>
      <c r="N243" s="79" t="s">
        <v>31</v>
      </c>
      <c r="O243" s="79" t="s">
        <v>264</v>
      </c>
      <c r="P243" s="23" t="s">
        <v>313</v>
      </c>
      <c r="Q243" t="s">
        <v>222</v>
      </c>
      <c r="S243" s="85" t="s">
        <v>233</v>
      </c>
    </row>
    <row r="244" spans="1:24">
      <c r="A244" t="s">
        <v>77</v>
      </c>
      <c r="B244" s="86">
        <v>918.10189566796214</v>
      </c>
      <c r="C244" s="86"/>
      <c r="D244" t="s">
        <v>78</v>
      </c>
      <c r="E244" t="s">
        <v>38</v>
      </c>
      <c r="F244" t="s">
        <v>29</v>
      </c>
      <c r="G244" t="s">
        <v>57</v>
      </c>
      <c r="H244" t="s">
        <v>33</v>
      </c>
      <c r="I244">
        <v>2</v>
      </c>
      <c r="J244">
        <f t="shared" si="10"/>
        <v>6.822308381920382</v>
      </c>
      <c r="K244">
        <v>0.28635642126552702</v>
      </c>
      <c r="L244" t="s">
        <v>31</v>
      </c>
      <c r="M244" t="s">
        <v>31</v>
      </c>
      <c r="N244" t="s">
        <v>31</v>
      </c>
      <c r="P244" s="23"/>
      <c r="Q244" t="s">
        <v>222</v>
      </c>
    </row>
    <row r="245" spans="1:24">
      <c r="A245" s="23" t="s">
        <v>80</v>
      </c>
      <c r="B245" s="86">
        <v>86.776521882674956</v>
      </c>
      <c r="C245" s="86"/>
      <c r="D245" s="23" t="s">
        <v>48</v>
      </c>
      <c r="E245" s="23" t="s">
        <v>38</v>
      </c>
      <c r="F245" s="23" t="s">
        <v>29</v>
      </c>
      <c r="G245" t="s">
        <v>235</v>
      </c>
      <c r="H245" s="23" t="s">
        <v>33</v>
      </c>
      <c r="I245">
        <v>2</v>
      </c>
      <c r="J245">
        <f t="shared" si="10"/>
        <v>4.4633360998559404</v>
      </c>
      <c r="K245">
        <v>0.28635642126552702</v>
      </c>
      <c r="L245" t="s">
        <v>31</v>
      </c>
      <c r="M245" t="s">
        <v>31</v>
      </c>
      <c r="N245" t="s">
        <v>31</v>
      </c>
      <c r="P245" s="23"/>
      <c r="Q245" t="s">
        <v>222</v>
      </c>
      <c r="R245" s="23"/>
      <c r="S245" s="89">
        <v>923.20651303863372</v>
      </c>
      <c r="T245" s="23" t="s">
        <v>236</v>
      </c>
      <c r="U245" s="23">
        <f>S245/0.277778</f>
        <v>3323.5407881064507</v>
      </c>
      <c r="V245" s="23" t="s">
        <v>237</v>
      </c>
      <c r="W245" s="23">
        <f>U245/38.3</f>
        <v>86.776521882674956</v>
      </c>
      <c r="X245" s="23" t="s">
        <v>238</v>
      </c>
    </row>
    <row r="246" spans="1:24">
      <c r="A246" s="29" t="s">
        <v>239</v>
      </c>
      <c r="B246" s="86">
        <v>414.78629109069448</v>
      </c>
      <c r="C246" s="86"/>
      <c r="D246" s="23" t="s">
        <v>172</v>
      </c>
      <c r="E246" s="23" t="s">
        <v>38</v>
      </c>
      <c r="F246" s="23" t="s">
        <v>29</v>
      </c>
      <c r="G246" t="s">
        <v>57</v>
      </c>
      <c r="H246" s="23" t="s">
        <v>33</v>
      </c>
      <c r="I246">
        <v>2</v>
      </c>
      <c r="J246">
        <f t="shared" si="10"/>
        <v>6.0277634263653859</v>
      </c>
      <c r="K246">
        <v>0.28635642126552702</v>
      </c>
      <c r="L246" t="s">
        <v>31</v>
      </c>
      <c r="M246" t="s">
        <v>31</v>
      </c>
      <c r="N246" t="s">
        <v>31</v>
      </c>
      <c r="P246" s="23"/>
      <c r="Q246" t="s">
        <v>222</v>
      </c>
      <c r="R246" s="29"/>
      <c r="S246" s="89">
        <v>115.21850636659094</v>
      </c>
      <c r="T246" s="23" t="s">
        <v>236</v>
      </c>
      <c r="U246" s="23">
        <f>S246/0.277778</f>
        <v>414.78629109069448</v>
      </c>
      <c r="V246" s="23" t="s">
        <v>237</v>
      </c>
    </row>
    <row r="247" spans="1:24">
      <c r="A247" s="29" t="s">
        <v>73</v>
      </c>
      <c r="B247" s="86">
        <v>19.630623801336835</v>
      </c>
      <c r="C247" s="86"/>
      <c r="D247" s="23" t="s">
        <v>37</v>
      </c>
      <c r="E247" s="23" t="s">
        <v>38</v>
      </c>
      <c r="F247" s="23" t="s">
        <v>29</v>
      </c>
      <c r="G247" t="s">
        <v>57</v>
      </c>
      <c r="H247" s="23" t="s">
        <v>33</v>
      </c>
      <c r="I247">
        <v>2</v>
      </c>
      <c r="J247">
        <f t="shared" si="10"/>
        <v>2.9770907857425457</v>
      </c>
      <c r="K247">
        <v>0.28635642126552702</v>
      </c>
      <c r="L247" t="s">
        <v>31</v>
      </c>
      <c r="M247" t="s">
        <v>31</v>
      </c>
      <c r="N247" t="s">
        <v>31</v>
      </c>
      <c r="P247" s="23"/>
      <c r="Q247" t="s">
        <v>222</v>
      </c>
      <c r="R247" s="29"/>
      <c r="S247" s="89">
        <v>244.29240273929091</v>
      </c>
      <c r="T247" s="23" t="s">
        <v>236</v>
      </c>
      <c r="U247" s="23">
        <f>S247/0.277778</f>
        <v>879.4519462998901</v>
      </c>
      <c r="V247" s="23" t="s">
        <v>237</v>
      </c>
      <c r="W247" s="23">
        <f>U247/44.8</f>
        <v>19.630623801336835</v>
      </c>
      <c r="X247" s="23" t="s">
        <v>240</v>
      </c>
    </row>
    <row r="248" spans="1:24">
      <c r="A248" s="29" t="s">
        <v>36</v>
      </c>
      <c r="B248" s="86">
        <v>38.753390668509724</v>
      </c>
      <c r="C248" s="86"/>
      <c r="D248" s="23" t="s">
        <v>37</v>
      </c>
      <c r="E248" s="23" t="s">
        <v>38</v>
      </c>
      <c r="F248" s="23" t="s">
        <v>29</v>
      </c>
      <c r="G248" t="s">
        <v>130</v>
      </c>
      <c r="H248" s="23" t="s">
        <v>33</v>
      </c>
      <c r="I248">
        <v>2</v>
      </c>
      <c r="J248">
        <f t="shared" si="10"/>
        <v>3.6572182530941877</v>
      </c>
      <c r="K248">
        <v>0.28635642126552702</v>
      </c>
      <c r="L248" t="s">
        <v>31</v>
      </c>
      <c r="M248" t="s">
        <v>31</v>
      </c>
      <c r="N248" t="s">
        <v>31</v>
      </c>
      <c r="P248" s="23"/>
      <c r="Q248" t="s">
        <v>222</v>
      </c>
      <c r="R248" s="29"/>
      <c r="S248" s="89">
        <v>497.33557811401909</v>
      </c>
      <c r="T248" s="23" t="s">
        <v>236</v>
      </c>
      <c r="U248" s="23">
        <f>S248/0.277778</f>
        <v>1790.4066488851495</v>
      </c>
      <c r="V248" s="23" t="s">
        <v>237</v>
      </c>
      <c r="W248" s="23">
        <f>U248/46.2</f>
        <v>38.753390668509724</v>
      </c>
      <c r="X248" s="23" t="s">
        <v>240</v>
      </c>
    </row>
    <row r="249" spans="1:24" s="91" customFormat="1">
      <c r="A249" s="73" t="s">
        <v>56</v>
      </c>
      <c r="B249" s="89">
        <f>W249</f>
        <v>0.24545434909106617</v>
      </c>
      <c r="C249" s="89"/>
      <c r="D249" s="23" t="s">
        <v>37</v>
      </c>
      <c r="E249" t="s">
        <v>2</v>
      </c>
      <c r="F249" s="23" t="s">
        <v>206</v>
      </c>
      <c r="G249" s="23" t="s">
        <v>57</v>
      </c>
      <c r="H249" s="23" t="s">
        <v>33</v>
      </c>
      <c r="I249" s="23">
        <v>2</v>
      </c>
      <c r="J249" s="23">
        <f t="shared" si="10"/>
        <v>-1.4046442997877673</v>
      </c>
      <c r="K249" s="23">
        <v>0.28635642126552702</v>
      </c>
      <c r="L249" s="23" t="s">
        <v>31</v>
      </c>
      <c r="M249" s="23" t="s">
        <v>31</v>
      </c>
      <c r="N249" s="23" t="s">
        <v>31</v>
      </c>
      <c r="P249" s="23"/>
      <c r="Q249" t="s">
        <v>222</v>
      </c>
      <c r="R249" s="90"/>
      <c r="S249" s="89">
        <v>3</v>
      </c>
      <c r="T249" s="23" t="s">
        <v>236</v>
      </c>
      <c r="U249" s="23">
        <f>S249/0.277778</f>
        <v>10.799991360006912</v>
      </c>
      <c r="V249" s="23" t="s">
        <v>237</v>
      </c>
      <c r="W249" s="23">
        <f>U249/44</f>
        <v>0.24545434909106617</v>
      </c>
      <c r="X249" s="23" t="s">
        <v>240</v>
      </c>
    </row>
    <row r="250" spans="1:24">
      <c r="A250" t="s">
        <v>82</v>
      </c>
      <c r="B250" s="86">
        <v>2239.997069668003</v>
      </c>
      <c r="C250" s="86"/>
      <c r="D250" t="s">
        <v>37</v>
      </c>
      <c r="E250" t="s">
        <v>38</v>
      </c>
      <c r="F250" t="s">
        <v>29</v>
      </c>
      <c r="G250" t="s">
        <v>57</v>
      </c>
      <c r="H250" t="s">
        <v>33</v>
      </c>
      <c r="I250">
        <v>2</v>
      </c>
      <c r="J250">
        <f t="shared" si="10"/>
        <v>7.7142298366643027</v>
      </c>
      <c r="K250">
        <v>0.28635642126552702</v>
      </c>
      <c r="L250" t="s">
        <v>31</v>
      </c>
      <c r="M250" t="s">
        <v>31</v>
      </c>
      <c r="N250" t="s">
        <v>31</v>
      </c>
      <c r="P250" s="23"/>
      <c r="Q250" t="s">
        <v>222</v>
      </c>
    </row>
    <row r="251" spans="1:24">
      <c r="A251" s="88" t="s">
        <v>242</v>
      </c>
      <c r="B251" s="86">
        <v>2.093438586803027</v>
      </c>
      <c r="C251" s="86"/>
      <c r="D251" s="23" t="s">
        <v>48</v>
      </c>
      <c r="E251" s="23" t="s">
        <v>38</v>
      </c>
      <c r="F251" s="23" t="s">
        <v>29</v>
      </c>
      <c r="G251" s="33" t="s">
        <v>130</v>
      </c>
      <c r="H251" s="23" t="s">
        <v>33</v>
      </c>
      <c r="I251">
        <v>2</v>
      </c>
      <c r="J251">
        <f t="shared" si="10"/>
        <v>0.73880797086790206</v>
      </c>
      <c r="K251">
        <v>0.28635642126552702</v>
      </c>
      <c r="L251" t="s">
        <v>31</v>
      </c>
      <c r="M251" t="s">
        <v>31</v>
      </c>
      <c r="N251" t="s">
        <v>31</v>
      </c>
      <c r="P251" s="23"/>
      <c r="Q251" t="s">
        <v>222</v>
      </c>
    </row>
    <row r="252" spans="1:24">
      <c r="A252" t="s">
        <v>243</v>
      </c>
      <c r="B252" s="86">
        <v>50.798235148713452</v>
      </c>
      <c r="C252" s="86"/>
      <c r="D252" t="s">
        <v>37</v>
      </c>
      <c r="E252" t="s">
        <v>38</v>
      </c>
      <c r="F252" t="s">
        <v>29</v>
      </c>
      <c r="G252" t="s">
        <v>130</v>
      </c>
      <c r="H252" t="s">
        <v>33</v>
      </c>
      <c r="I252">
        <v>2</v>
      </c>
      <c r="J252">
        <f t="shared" si="10"/>
        <v>3.9278616128138899</v>
      </c>
      <c r="K252">
        <v>0.28635642126552702</v>
      </c>
      <c r="L252" t="s">
        <v>31</v>
      </c>
      <c r="M252" t="s">
        <v>31</v>
      </c>
      <c r="N252" t="s">
        <v>31</v>
      </c>
      <c r="P252" s="23"/>
      <c r="Q252" t="s">
        <v>222</v>
      </c>
    </row>
    <row r="253" spans="1:24">
      <c r="A253" t="s">
        <v>46</v>
      </c>
      <c r="B253" s="86">
        <v>954.36582670026701</v>
      </c>
      <c r="C253" s="86"/>
      <c r="D253" t="s">
        <v>37</v>
      </c>
      <c r="E253" t="s">
        <v>41</v>
      </c>
      <c r="F253" t="s">
        <v>42</v>
      </c>
      <c r="G253" t="s">
        <v>29</v>
      </c>
      <c r="H253" t="s">
        <v>43</v>
      </c>
      <c r="I253">
        <v>2</v>
      </c>
      <c r="J253">
        <f t="shared" si="10"/>
        <v>6.8610470640867733</v>
      </c>
      <c r="K253">
        <v>0.28635642126552702</v>
      </c>
      <c r="L253" t="s">
        <v>31</v>
      </c>
      <c r="M253" t="s">
        <v>31</v>
      </c>
      <c r="N253" t="s">
        <v>31</v>
      </c>
      <c r="P253" s="23"/>
      <c r="Q253" t="s">
        <v>222</v>
      </c>
    </row>
    <row r="254" spans="1:24">
      <c r="A254" t="s">
        <v>49</v>
      </c>
      <c r="B254" s="86">
        <v>1.0209234741343503E-2</v>
      </c>
      <c r="C254" s="86"/>
      <c r="D254" t="s">
        <v>37</v>
      </c>
      <c r="E254" t="s">
        <v>41</v>
      </c>
      <c r="F254" t="s">
        <v>42</v>
      </c>
      <c r="G254" t="s">
        <v>29</v>
      </c>
      <c r="H254" t="s">
        <v>43</v>
      </c>
      <c r="I254">
        <v>2</v>
      </c>
      <c r="J254">
        <f t="shared" si="10"/>
        <v>-4.5844626014908432</v>
      </c>
      <c r="K254">
        <v>0.28635642126552702</v>
      </c>
      <c r="L254" t="s">
        <v>31</v>
      </c>
      <c r="M254" t="s">
        <v>31</v>
      </c>
      <c r="N254" t="s">
        <v>31</v>
      </c>
      <c r="P254" s="23"/>
      <c r="Q254" t="s">
        <v>222</v>
      </c>
    </row>
    <row r="255" spans="1:24">
      <c r="A255" t="s">
        <v>40</v>
      </c>
      <c r="B255">
        <v>0.1618892937555898</v>
      </c>
      <c r="D255" t="s">
        <v>37</v>
      </c>
      <c r="E255" t="s">
        <v>41</v>
      </c>
      <c r="F255" t="s">
        <v>42</v>
      </c>
      <c r="G255" t="s">
        <v>29</v>
      </c>
      <c r="H255" t="s">
        <v>43</v>
      </c>
      <c r="I255">
        <v>2</v>
      </c>
      <c r="J255">
        <f t="shared" si="10"/>
        <v>-1.8208425492338229</v>
      </c>
      <c r="K255">
        <v>0.28635642126552702</v>
      </c>
      <c r="L255" t="s">
        <v>31</v>
      </c>
      <c r="M255" t="s">
        <v>31</v>
      </c>
      <c r="N255" t="s">
        <v>31</v>
      </c>
      <c r="P255" s="23"/>
      <c r="Q255" t="s">
        <v>222</v>
      </c>
    </row>
    <row r="256" spans="1:24">
      <c r="A256" t="s">
        <v>245</v>
      </c>
      <c r="B256">
        <v>0.76642183665371566</v>
      </c>
      <c r="D256" t="s">
        <v>37</v>
      </c>
      <c r="E256" t="s">
        <v>41</v>
      </c>
      <c r="F256" t="s">
        <v>42</v>
      </c>
      <c r="G256" t="s">
        <v>29</v>
      </c>
      <c r="H256" t="s">
        <v>43</v>
      </c>
      <c r="I256">
        <v>2</v>
      </c>
      <c r="J256">
        <f t="shared" si="10"/>
        <v>-0.26602256022915127</v>
      </c>
      <c r="K256">
        <v>0.28635642126552702</v>
      </c>
      <c r="L256" t="s">
        <v>31</v>
      </c>
      <c r="M256" t="s">
        <v>31</v>
      </c>
      <c r="N256" t="s">
        <v>31</v>
      </c>
      <c r="P256" s="23"/>
      <c r="Q256" t="s">
        <v>222</v>
      </c>
    </row>
    <row r="257" spans="1:24" s="28" customFormat="1">
      <c r="A257" s="82" t="s">
        <v>5</v>
      </c>
      <c r="B257" s="82" t="s">
        <v>319</v>
      </c>
      <c r="C257" s="82"/>
      <c r="D257" s="26"/>
      <c r="Q257" s="28" t="s">
        <v>222</v>
      </c>
      <c r="S257" s="83"/>
      <c r="T257" s="83"/>
      <c r="U257" s="83"/>
      <c r="V257" s="83"/>
      <c r="W257" s="83"/>
      <c r="X257" s="83"/>
    </row>
    <row r="258" spans="1:24">
      <c r="A258" t="s">
        <v>7</v>
      </c>
      <c r="B258" t="s">
        <v>223</v>
      </c>
      <c r="Q258" t="s">
        <v>222</v>
      </c>
    </row>
    <row r="259" spans="1:24">
      <c r="A259" t="s">
        <v>9</v>
      </c>
      <c r="B259" s="84" t="s">
        <v>326</v>
      </c>
      <c r="C259" s="23"/>
      <c r="Q259" t="s">
        <v>222</v>
      </c>
    </row>
    <row r="260" spans="1:24">
      <c r="A260" t="s">
        <v>11</v>
      </c>
      <c r="B260" t="s">
        <v>327</v>
      </c>
      <c r="Q260" t="s">
        <v>222</v>
      </c>
    </row>
    <row r="261" spans="1:24">
      <c r="A261" t="s">
        <v>13</v>
      </c>
      <c r="B261" t="s">
        <v>57</v>
      </c>
      <c r="Q261" t="s">
        <v>222</v>
      </c>
    </row>
    <row r="262" spans="1:24">
      <c r="A262" t="s">
        <v>15</v>
      </c>
      <c r="B262">
        <v>1</v>
      </c>
      <c r="Q262" t="s">
        <v>222</v>
      </c>
    </row>
    <row r="263" spans="1:24">
      <c r="A263" t="s">
        <v>16</v>
      </c>
      <c r="B263" t="s">
        <v>17</v>
      </c>
      <c r="Q263" t="s">
        <v>222</v>
      </c>
    </row>
    <row r="264" spans="1:24">
      <c r="A264" t="s">
        <v>18</v>
      </c>
      <c r="B264" t="s">
        <v>18</v>
      </c>
      <c r="E264" t="s">
        <v>226</v>
      </c>
      <c r="Q264" t="s">
        <v>222</v>
      </c>
    </row>
    <row r="265" spans="1:24">
      <c r="A265" s="76" t="s">
        <v>19</v>
      </c>
      <c r="Q265" t="s">
        <v>222</v>
      </c>
    </row>
    <row r="266" spans="1:24">
      <c r="A266" s="76" t="s">
        <v>20</v>
      </c>
      <c r="B266" s="76" t="s">
        <v>21</v>
      </c>
      <c r="C266" s="76" t="s">
        <v>209</v>
      </c>
      <c r="D266" s="76" t="s">
        <v>18</v>
      </c>
      <c r="E266" s="76" t="s">
        <v>22</v>
      </c>
      <c r="F266" s="76" t="s">
        <v>7</v>
      </c>
      <c r="G266" s="76" t="s">
        <v>13</v>
      </c>
      <c r="H266" s="76" t="s">
        <v>16</v>
      </c>
      <c r="I266" s="76" t="s">
        <v>23</v>
      </c>
      <c r="J266" s="76" t="s">
        <v>24</v>
      </c>
      <c r="K266" s="76" t="s">
        <v>25</v>
      </c>
      <c r="L266" s="76" t="s">
        <v>26</v>
      </c>
      <c r="M266" s="76" t="s">
        <v>27</v>
      </c>
      <c r="N266" s="76" t="s">
        <v>28</v>
      </c>
      <c r="O266" s="76" t="s">
        <v>11</v>
      </c>
      <c r="P266" s="85" t="s">
        <v>227</v>
      </c>
      <c r="Q266" t="s">
        <v>222</v>
      </c>
      <c r="S266" s="85" t="s">
        <v>233</v>
      </c>
    </row>
    <row r="267" spans="1:24">
      <c r="A267" s="45" t="s">
        <v>319</v>
      </c>
      <c r="B267">
        <v>1</v>
      </c>
      <c r="D267" t="s">
        <v>18</v>
      </c>
      <c r="E267" t="s">
        <v>2</v>
      </c>
      <c r="F267" t="s">
        <v>29</v>
      </c>
      <c r="G267" t="s">
        <v>57</v>
      </c>
      <c r="H267" t="s">
        <v>30</v>
      </c>
      <c r="I267">
        <v>1</v>
      </c>
      <c r="J267">
        <v>1</v>
      </c>
      <c r="K267" t="s">
        <v>31</v>
      </c>
      <c r="L267" t="s">
        <v>31</v>
      </c>
      <c r="M267" t="s">
        <v>31</v>
      </c>
      <c r="N267" t="s">
        <v>31</v>
      </c>
      <c r="Q267" t="s">
        <v>222</v>
      </c>
    </row>
    <row r="268" spans="1:24">
      <c r="A268" s="93" t="s">
        <v>328</v>
      </c>
      <c r="B268" s="81">
        <v>4.7136986301369852</v>
      </c>
      <c r="C268" s="81"/>
      <c r="D268" s="81" t="s">
        <v>115</v>
      </c>
      <c r="E268" s="81" t="s">
        <v>38</v>
      </c>
      <c r="F268" s="81" t="s">
        <v>29</v>
      </c>
      <c r="G268" s="81" t="s">
        <v>57</v>
      </c>
      <c r="H268" s="81" t="s">
        <v>33</v>
      </c>
      <c r="I268" s="81">
        <v>2</v>
      </c>
      <c r="J268" s="81">
        <f t="shared" ref="J268:J285" si="11">LN(B268)</f>
        <v>1.5504728716550433</v>
      </c>
      <c r="K268" s="81">
        <v>0.30331501776206199</v>
      </c>
      <c r="L268" s="81" t="s">
        <v>31</v>
      </c>
      <c r="M268" s="81" t="s">
        <v>31</v>
      </c>
      <c r="N268" s="81" t="s">
        <v>31</v>
      </c>
      <c r="O268" s="81" t="s">
        <v>253</v>
      </c>
      <c r="P268" s="23" t="s">
        <v>329</v>
      </c>
      <c r="Q268" t="s">
        <v>222</v>
      </c>
      <c r="R268" s="88"/>
      <c r="S268" s="23">
        <v>68.819999999999993</v>
      </c>
      <c r="T268" s="23" t="s">
        <v>240</v>
      </c>
      <c r="U268" s="23">
        <f>S268/7300</f>
        <v>9.4273972602739713E-3</v>
      </c>
      <c r="V268" s="23" t="s">
        <v>238</v>
      </c>
      <c r="W268" s="23">
        <f>U268/0.002</f>
        <v>4.7136986301369852</v>
      </c>
      <c r="X268" s="23" t="s">
        <v>330</v>
      </c>
    </row>
    <row r="269" spans="1:24">
      <c r="A269" s="93" t="s">
        <v>331</v>
      </c>
      <c r="B269" s="81">
        <v>17.205000000000002</v>
      </c>
      <c r="C269" s="81"/>
      <c r="D269" s="81" t="s">
        <v>37</v>
      </c>
      <c r="E269" s="81" t="s">
        <v>38</v>
      </c>
      <c r="F269" s="81" t="s">
        <v>29</v>
      </c>
      <c r="G269" s="81" t="s">
        <v>130</v>
      </c>
      <c r="H269" s="81" t="s">
        <v>33</v>
      </c>
      <c r="I269" s="81">
        <v>2</v>
      </c>
      <c r="J269" s="81">
        <f t="shared" si="11"/>
        <v>2.8452000392494439</v>
      </c>
      <c r="K269" s="81">
        <v>0.30331501776206199</v>
      </c>
      <c r="L269" s="81" t="s">
        <v>31</v>
      </c>
      <c r="M269" s="81" t="s">
        <v>31</v>
      </c>
      <c r="N269" s="81" t="s">
        <v>31</v>
      </c>
      <c r="O269" s="81" t="s">
        <v>253</v>
      </c>
      <c r="P269" s="23" t="s">
        <v>332</v>
      </c>
      <c r="Q269" t="s">
        <v>222</v>
      </c>
    </row>
    <row r="270" spans="1:24">
      <c r="A270" s="95" t="s">
        <v>302</v>
      </c>
      <c r="B270" s="97">
        <v>64.231999999999999</v>
      </c>
      <c r="C270" s="97"/>
      <c r="D270" s="97" t="s">
        <v>37</v>
      </c>
      <c r="E270" s="97" t="s">
        <v>38</v>
      </c>
      <c r="F270" s="97" t="s">
        <v>29</v>
      </c>
      <c r="G270" s="97" t="s">
        <v>130</v>
      </c>
      <c r="H270" s="97" t="s">
        <v>33</v>
      </c>
      <c r="I270" s="97">
        <v>2</v>
      </c>
      <c r="J270" s="97">
        <f t="shared" si="11"/>
        <v>4.162501528882383</v>
      </c>
      <c r="K270" s="97">
        <v>0.30331501776206199</v>
      </c>
      <c r="L270" s="97" t="s">
        <v>31</v>
      </c>
      <c r="M270" s="97" t="s">
        <v>31</v>
      </c>
      <c r="N270" s="97" t="s">
        <v>31</v>
      </c>
      <c r="O270" s="97" t="s">
        <v>264</v>
      </c>
      <c r="P270" s="98" t="s">
        <v>333</v>
      </c>
      <c r="Q270" t="s">
        <v>222</v>
      </c>
    </row>
    <row r="271" spans="1:24">
      <c r="A271" s="103" t="s">
        <v>328</v>
      </c>
      <c r="B271" s="105">
        <v>4.3994520547945202</v>
      </c>
      <c r="C271" s="105"/>
      <c r="D271" s="105" t="s">
        <v>115</v>
      </c>
      <c r="E271" s="105" t="s">
        <v>38</v>
      </c>
      <c r="F271" s="105" t="s">
        <v>29</v>
      </c>
      <c r="G271" s="105" t="s">
        <v>57</v>
      </c>
      <c r="H271" s="105" t="s">
        <v>269</v>
      </c>
      <c r="I271" s="105">
        <v>2</v>
      </c>
      <c r="J271" s="105">
        <f t="shared" si="11"/>
        <v>1.4814800001680921</v>
      </c>
      <c r="K271" s="105">
        <v>0.30331501776206199</v>
      </c>
      <c r="L271" s="105" t="s">
        <v>31</v>
      </c>
      <c r="M271" s="105" t="s">
        <v>31</v>
      </c>
      <c r="N271" s="105" t="s">
        <v>31</v>
      </c>
      <c r="O271" s="105" t="s">
        <v>264</v>
      </c>
      <c r="P271" s="106" t="s">
        <v>334</v>
      </c>
      <c r="Q271" t="s">
        <v>222</v>
      </c>
      <c r="S271" s="23">
        <v>64.231999999999999</v>
      </c>
      <c r="T271" s="23" t="s">
        <v>240</v>
      </c>
      <c r="U271" s="23">
        <f>S271/7300</f>
        <v>8.7989041095890407E-3</v>
      </c>
      <c r="V271" s="23" t="s">
        <v>238</v>
      </c>
      <c r="W271" s="23">
        <f>U271/0.002</f>
        <v>4.3994520547945202</v>
      </c>
      <c r="X271" s="23" t="s">
        <v>330</v>
      </c>
    </row>
    <row r="272" spans="1:24" s="23" customFormat="1">
      <c r="A272" s="117" t="s">
        <v>335</v>
      </c>
      <c r="B272" s="135">
        <v>16.058</v>
      </c>
      <c r="C272" s="135"/>
      <c r="D272" s="78" t="s">
        <v>37</v>
      </c>
      <c r="E272" s="78" t="s">
        <v>38</v>
      </c>
      <c r="F272" s="78" t="s">
        <v>29</v>
      </c>
      <c r="G272" s="78" t="s">
        <v>57</v>
      </c>
      <c r="H272" s="78" t="s">
        <v>33</v>
      </c>
      <c r="I272" s="78">
        <v>2</v>
      </c>
      <c r="J272" s="78">
        <f t="shared" si="11"/>
        <v>2.7762071677624922</v>
      </c>
      <c r="K272" s="78">
        <v>0.30331501776206199</v>
      </c>
      <c r="L272" s="78" t="s">
        <v>31</v>
      </c>
      <c r="M272" s="78" t="s">
        <v>31</v>
      </c>
      <c r="N272" s="78" t="s">
        <v>31</v>
      </c>
      <c r="O272" s="78" t="s">
        <v>264</v>
      </c>
      <c r="P272" s="23" t="s">
        <v>336</v>
      </c>
      <c r="Q272" t="s">
        <v>222</v>
      </c>
    </row>
    <row r="273" spans="1:24">
      <c r="A273" t="s">
        <v>77</v>
      </c>
      <c r="B273" s="86">
        <v>229.52547391699053</v>
      </c>
      <c r="C273" s="86"/>
      <c r="D273" t="s">
        <v>78</v>
      </c>
      <c r="E273" t="s">
        <v>38</v>
      </c>
      <c r="F273" t="s">
        <v>29</v>
      </c>
      <c r="G273" t="s">
        <v>57</v>
      </c>
      <c r="H273" t="s">
        <v>33</v>
      </c>
      <c r="I273">
        <v>2</v>
      </c>
      <c r="J273">
        <f t="shared" si="11"/>
        <v>5.4360140208004912</v>
      </c>
      <c r="K273">
        <v>0.28635642126552702</v>
      </c>
      <c r="L273" t="s">
        <v>31</v>
      </c>
      <c r="M273" t="s">
        <v>31</v>
      </c>
      <c r="N273" t="s">
        <v>31</v>
      </c>
      <c r="P273" s="23"/>
      <c r="Q273" t="s">
        <v>222</v>
      </c>
    </row>
    <row r="274" spans="1:24">
      <c r="A274" s="23" t="s">
        <v>80</v>
      </c>
      <c r="B274" s="23">
        <v>21.694130470668739</v>
      </c>
      <c r="C274" s="23"/>
      <c r="D274" s="23" t="s">
        <v>48</v>
      </c>
      <c r="E274" s="23" t="s">
        <v>38</v>
      </c>
      <c r="F274" s="23" t="s">
        <v>29</v>
      </c>
      <c r="G274" s="23" t="s">
        <v>235</v>
      </c>
      <c r="H274" s="23" t="s">
        <v>33</v>
      </c>
      <c r="I274">
        <v>2</v>
      </c>
      <c r="J274">
        <f t="shared" si="11"/>
        <v>3.0770417387360496</v>
      </c>
      <c r="K274">
        <v>0.28635642126552702</v>
      </c>
      <c r="L274" t="s">
        <v>31</v>
      </c>
      <c r="M274" t="s">
        <v>31</v>
      </c>
      <c r="N274" t="s">
        <v>31</v>
      </c>
      <c r="P274" s="23"/>
      <c r="Q274" t="s">
        <v>222</v>
      </c>
      <c r="R274" s="23"/>
      <c r="S274" s="89">
        <v>230.80162825965843</v>
      </c>
      <c r="T274" s="23" t="s">
        <v>236</v>
      </c>
      <c r="U274" s="23">
        <f>S274/0.277778</f>
        <v>830.88519702661267</v>
      </c>
      <c r="V274" s="23" t="s">
        <v>237</v>
      </c>
      <c r="W274" s="23">
        <f>U274/38.3</f>
        <v>21.694130470668739</v>
      </c>
      <c r="X274" s="23" t="s">
        <v>238</v>
      </c>
    </row>
    <row r="275" spans="1:24">
      <c r="A275" s="29" t="s">
        <v>239</v>
      </c>
      <c r="B275" s="23">
        <v>103.69657277267362</v>
      </c>
      <c r="C275" s="23"/>
      <c r="D275" s="23" t="s">
        <v>172</v>
      </c>
      <c r="E275" s="23" t="s">
        <v>38</v>
      </c>
      <c r="F275" s="23" t="s">
        <v>29</v>
      </c>
      <c r="G275" s="23" t="s">
        <v>57</v>
      </c>
      <c r="H275" s="23" t="s">
        <v>33</v>
      </c>
      <c r="I275">
        <v>2</v>
      </c>
      <c r="J275">
        <f t="shared" si="11"/>
        <v>4.6414690652454951</v>
      </c>
      <c r="K275">
        <v>0.28635642126552702</v>
      </c>
      <c r="L275" t="s">
        <v>31</v>
      </c>
      <c r="M275" t="s">
        <v>31</v>
      </c>
      <c r="N275" t="s">
        <v>31</v>
      </c>
      <c r="P275" s="23"/>
      <c r="Q275" t="s">
        <v>222</v>
      </c>
      <c r="R275" s="29"/>
      <c r="S275" s="89">
        <v>28.804626591647736</v>
      </c>
      <c r="T275" s="23" t="s">
        <v>236</v>
      </c>
      <c r="U275" s="23">
        <f>S275/0.277778</f>
        <v>103.69657277267362</v>
      </c>
      <c r="V275" s="23" t="s">
        <v>237</v>
      </c>
    </row>
    <row r="276" spans="1:24">
      <c r="A276" s="29" t="s">
        <v>73</v>
      </c>
      <c r="B276">
        <v>4.9076559503342088</v>
      </c>
      <c r="D276" s="23" t="s">
        <v>37</v>
      </c>
      <c r="E276" s="23" t="s">
        <v>38</v>
      </c>
      <c r="F276" s="23" t="s">
        <v>29</v>
      </c>
      <c r="G276" s="23" t="s">
        <v>57</v>
      </c>
      <c r="H276" s="23" t="s">
        <v>33</v>
      </c>
      <c r="I276">
        <v>2</v>
      </c>
      <c r="J276">
        <f t="shared" si="11"/>
        <v>1.5907964246226554</v>
      </c>
      <c r="K276">
        <v>0.28635642126552702</v>
      </c>
      <c r="L276" t="s">
        <v>31</v>
      </c>
      <c r="M276" t="s">
        <v>31</v>
      </c>
      <c r="N276" t="s">
        <v>31</v>
      </c>
      <c r="P276" s="23"/>
      <c r="Q276" t="s">
        <v>222</v>
      </c>
      <c r="R276" s="29"/>
      <c r="S276" s="89">
        <v>61.073100684822727</v>
      </c>
      <c r="T276" s="23" t="s">
        <v>236</v>
      </c>
      <c r="U276" s="23">
        <f>S276/0.277778</f>
        <v>219.86298657497252</v>
      </c>
      <c r="V276" s="23" t="s">
        <v>237</v>
      </c>
      <c r="W276" s="23">
        <f>U276/44.8</f>
        <v>4.9076559503342088</v>
      </c>
      <c r="X276" s="23" t="s">
        <v>240</v>
      </c>
    </row>
    <row r="277" spans="1:24">
      <c r="A277" s="29" t="s">
        <v>36</v>
      </c>
      <c r="B277">
        <v>9.6883476671274309</v>
      </c>
      <c r="D277" s="23" t="s">
        <v>37</v>
      </c>
      <c r="E277" s="23" t="s">
        <v>38</v>
      </c>
      <c r="F277" s="23" t="s">
        <v>29</v>
      </c>
      <c r="G277" s="23" t="s">
        <v>130</v>
      </c>
      <c r="H277" s="23" t="s">
        <v>33</v>
      </c>
      <c r="I277">
        <v>2</v>
      </c>
      <c r="J277">
        <f t="shared" si="11"/>
        <v>2.2709238919742969</v>
      </c>
      <c r="K277">
        <v>0.28635642126552702</v>
      </c>
      <c r="L277" t="s">
        <v>31</v>
      </c>
      <c r="M277" t="s">
        <v>31</v>
      </c>
      <c r="N277" t="s">
        <v>31</v>
      </c>
      <c r="P277" s="23"/>
      <c r="Q277" t="s">
        <v>222</v>
      </c>
      <c r="R277" s="29"/>
      <c r="S277" s="89">
        <v>124.33389452850477</v>
      </c>
      <c r="T277" s="23" t="s">
        <v>236</v>
      </c>
      <c r="U277" s="23">
        <f>S277/0.277778</f>
        <v>447.60166222128737</v>
      </c>
      <c r="V277" s="23" t="s">
        <v>237</v>
      </c>
      <c r="W277" s="23">
        <f>U277/46.2</f>
        <v>9.6883476671274309</v>
      </c>
      <c r="X277" s="23" t="s">
        <v>240</v>
      </c>
    </row>
    <row r="278" spans="1:24" s="91" customFormat="1">
      <c r="A278" s="73" t="s">
        <v>56</v>
      </c>
      <c r="B278" s="89">
        <f>W278</f>
        <v>5.9664311146532589E-2</v>
      </c>
      <c r="C278" s="89"/>
      <c r="D278" s="23" t="s">
        <v>37</v>
      </c>
      <c r="E278" t="s">
        <v>2</v>
      </c>
      <c r="F278" s="23" t="s">
        <v>206</v>
      </c>
      <c r="G278" s="23" t="s">
        <v>57</v>
      </c>
      <c r="H278" s="23" t="s">
        <v>33</v>
      </c>
      <c r="I278" s="23">
        <v>2</v>
      </c>
      <c r="J278" s="23">
        <f t="shared" si="11"/>
        <v>-2.819021240579842</v>
      </c>
      <c r="K278" s="23">
        <v>0.28635642126552702</v>
      </c>
      <c r="L278" s="23" t="s">
        <v>31</v>
      </c>
      <c r="M278" s="23" t="s">
        <v>31</v>
      </c>
      <c r="N278" s="23" t="s">
        <v>31</v>
      </c>
      <c r="P278" s="23"/>
      <c r="Q278" t="s">
        <v>222</v>
      </c>
      <c r="R278" s="90"/>
      <c r="S278" s="89">
        <v>0.72923105295310731</v>
      </c>
      <c r="T278" s="23" t="s">
        <v>236</v>
      </c>
      <c r="U278" s="23">
        <f>S278/0.277778</f>
        <v>2.6252296904474339</v>
      </c>
      <c r="V278" s="23" t="s">
        <v>237</v>
      </c>
      <c r="W278" s="23">
        <f>U278/44</f>
        <v>5.9664311146532589E-2</v>
      </c>
      <c r="X278" s="23" t="s">
        <v>240</v>
      </c>
    </row>
    <row r="279" spans="1:24">
      <c r="A279" t="s">
        <v>82</v>
      </c>
      <c r="B279" s="86">
        <v>559.99926741700074</v>
      </c>
      <c r="C279" s="86"/>
      <c r="D279" t="s">
        <v>37</v>
      </c>
      <c r="E279" t="s">
        <v>38</v>
      </c>
      <c r="F279" t="s">
        <v>29</v>
      </c>
      <c r="G279" t="s">
        <v>57</v>
      </c>
      <c r="H279" t="s">
        <v>33</v>
      </c>
      <c r="I279">
        <v>2</v>
      </c>
      <c r="J279">
        <f t="shared" si="11"/>
        <v>6.3279354755444119</v>
      </c>
      <c r="K279">
        <v>0.28635642126552702</v>
      </c>
      <c r="L279" t="s">
        <v>31</v>
      </c>
      <c r="M279" t="s">
        <v>31</v>
      </c>
      <c r="N279" t="s">
        <v>31</v>
      </c>
      <c r="P279" s="23"/>
      <c r="Q279" t="s">
        <v>222</v>
      </c>
    </row>
    <row r="280" spans="1:24">
      <c r="A280" s="88" t="s">
        <v>242</v>
      </c>
      <c r="B280" s="86">
        <v>0.52335964670075674</v>
      </c>
      <c r="C280" s="86"/>
      <c r="D280" s="23" t="s">
        <v>48</v>
      </c>
      <c r="E280" s="23" t="s">
        <v>38</v>
      </c>
      <c r="F280" s="23" t="s">
        <v>29</v>
      </c>
      <c r="G280" s="33" t="s">
        <v>130</v>
      </c>
      <c r="H280" s="23" t="s">
        <v>33</v>
      </c>
      <c r="I280">
        <v>2</v>
      </c>
      <c r="J280">
        <f t="shared" si="11"/>
        <v>-0.64748639025198862</v>
      </c>
      <c r="K280">
        <v>0.28635642126552702</v>
      </c>
      <c r="L280" t="s">
        <v>31</v>
      </c>
      <c r="M280" t="s">
        <v>31</v>
      </c>
      <c r="N280" t="s">
        <v>31</v>
      </c>
      <c r="P280" s="23"/>
      <c r="Q280" t="s">
        <v>222</v>
      </c>
    </row>
    <row r="281" spans="1:24">
      <c r="A281" t="s">
        <v>243</v>
      </c>
      <c r="B281" s="86">
        <v>12.699558787178363</v>
      </c>
      <c r="C281" s="86"/>
      <c r="D281" t="s">
        <v>37</v>
      </c>
      <c r="E281" t="s">
        <v>38</v>
      </c>
      <c r="F281" t="s">
        <v>29</v>
      </c>
      <c r="G281" t="s">
        <v>130</v>
      </c>
      <c r="H281" t="s">
        <v>33</v>
      </c>
      <c r="I281">
        <v>2</v>
      </c>
      <c r="J281">
        <f t="shared" si="11"/>
        <v>2.5415672516939991</v>
      </c>
      <c r="K281">
        <v>0.28635642126552702</v>
      </c>
      <c r="L281" t="s">
        <v>31</v>
      </c>
      <c r="M281" t="s">
        <v>31</v>
      </c>
      <c r="N281" t="s">
        <v>31</v>
      </c>
      <c r="P281" s="23"/>
      <c r="Q281" t="s">
        <v>222</v>
      </c>
    </row>
    <row r="282" spans="1:24">
      <c r="A282" t="s">
        <v>46</v>
      </c>
      <c r="B282" s="86">
        <v>238.59145667506675</v>
      </c>
      <c r="C282" s="86"/>
      <c r="D282" t="s">
        <v>37</v>
      </c>
      <c r="E282" t="s">
        <v>41</v>
      </c>
      <c r="F282" t="s">
        <v>42</v>
      </c>
      <c r="G282" t="s">
        <v>29</v>
      </c>
      <c r="H282" t="s">
        <v>43</v>
      </c>
      <c r="I282">
        <v>2</v>
      </c>
      <c r="J282">
        <f t="shared" si="11"/>
        <v>5.4747527029668825</v>
      </c>
      <c r="K282">
        <v>0.28635642126552702</v>
      </c>
      <c r="L282" t="s">
        <v>31</v>
      </c>
      <c r="M282" t="s">
        <v>31</v>
      </c>
      <c r="N282" t="s">
        <v>31</v>
      </c>
      <c r="P282" s="23"/>
      <c r="Q282" t="s">
        <v>222</v>
      </c>
    </row>
    <row r="283" spans="1:24">
      <c r="A283" t="s">
        <v>49</v>
      </c>
      <c r="B283" s="86">
        <v>2.5523086853358758E-3</v>
      </c>
      <c r="C283" s="86"/>
      <c r="D283" t="s">
        <v>37</v>
      </c>
      <c r="E283" t="s">
        <v>41</v>
      </c>
      <c r="F283" t="s">
        <v>42</v>
      </c>
      <c r="G283" t="s">
        <v>29</v>
      </c>
      <c r="H283" t="s">
        <v>43</v>
      </c>
      <c r="I283">
        <v>2</v>
      </c>
      <c r="J283">
        <f t="shared" si="11"/>
        <v>-5.970756962610734</v>
      </c>
      <c r="K283">
        <v>0.28635642126552702</v>
      </c>
      <c r="L283" t="s">
        <v>31</v>
      </c>
      <c r="M283" t="s">
        <v>31</v>
      </c>
      <c r="N283" t="s">
        <v>31</v>
      </c>
      <c r="P283" s="23"/>
      <c r="Q283" t="s">
        <v>222</v>
      </c>
    </row>
    <row r="284" spans="1:24">
      <c r="A284" t="s">
        <v>40</v>
      </c>
      <c r="B284">
        <v>4.0472323438897451E-2</v>
      </c>
      <c r="D284" t="s">
        <v>37</v>
      </c>
      <c r="E284" t="s">
        <v>41</v>
      </c>
      <c r="F284" t="s">
        <v>42</v>
      </c>
      <c r="G284" t="s">
        <v>29</v>
      </c>
      <c r="H284" t="s">
        <v>43</v>
      </c>
      <c r="I284">
        <v>2</v>
      </c>
      <c r="J284">
        <f t="shared" si="11"/>
        <v>-3.2071369103537135</v>
      </c>
      <c r="K284">
        <v>0.28635642126552702</v>
      </c>
      <c r="L284" t="s">
        <v>31</v>
      </c>
      <c r="M284" t="s">
        <v>31</v>
      </c>
      <c r="N284" t="s">
        <v>31</v>
      </c>
      <c r="P284" s="23"/>
      <c r="Q284" t="s">
        <v>222</v>
      </c>
    </row>
    <row r="285" spans="1:24">
      <c r="A285" t="s">
        <v>245</v>
      </c>
      <c r="B285">
        <v>0.19160545916342892</v>
      </c>
      <c r="D285" t="s">
        <v>37</v>
      </c>
      <c r="E285" t="s">
        <v>41</v>
      </c>
      <c r="F285" t="s">
        <v>42</v>
      </c>
      <c r="G285" t="s">
        <v>29</v>
      </c>
      <c r="H285" t="s">
        <v>43</v>
      </c>
      <c r="I285">
        <v>2</v>
      </c>
      <c r="J285">
        <f t="shared" si="11"/>
        <v>-1.6523169213490418</v>
      </c>
      <c r="K285">
        <v>0.28635642126552702</v>
      </c>
      <c r="L285" t="s">
        <v>31</v>
      </c>
      <c r="M285" t="s">
        <v>31</v>
      </c>
      <c r="N285" t="s">
        <v>31</v>
      </c>
      <c r="P285" s="23"/>
      <c r="Q285" t="s">
        <v>222</v>
      </c>
    </row>
    <row r="286" spans="1:24" s="28" customFormat="1">
      <c r="A286" s="82" t="s">
        <v>5</v>
      </c>
      <c r="B286" s="82" t="s">
        <v>320</v>
      </c>
      <c r="C286" s="82"/>
      <c r="D286" s="26"/>
      <c r="Q286" s="28" t="s">
        <v>222</v>
      </c>
      <c r="S286" s="83"/>
      <c r="T286" s="83"/>
      <c r="U286" s="83"/>
      <c r="V286" s="83"/>
      <c r="W286" s="83"/>
      <c r="X286" s="83"/>
    </row>
    <row r="287" spans="1:24">
      <c r="A287" t="s">
        <v>7</v>
      </c>
      <c r="B287" t="s">
        <v>223</v>
      </c>
      <c r="Q287" t="s">
        <v>222</v>
      </c>
    </row>
    <row r="288" spans="1:24">
      <c r="A288" t="s">
        <v>9</v>
      </c>
      <c r="B288" s="84" t="s">
        <v>337</v>
      </c>
      <c r="C288" s="23"/>
      <c r="Q288" t="s">
        <v>222</v>
      </c>
    </row>
    <row r="289" spans="1:19">
      <c r="A289" t="s">
        <v>11</v>
      </c>
      <c r="B289" t="s">
        <v>338</v>
      </c>
      <c r="Q289" t="s">
        <v>222</v>
      </c>
    </row>
    <row r="290" spans="1:19">
      <c r="A290" t="s">
        <v>13</v>
      </c>
      <c r="B290" t="s">
        <v>57</v>
      </c>
      <c r="Q290" t="s">
        <v>222</v>
      </c>
    </row>
    <row r="291" spans="1:19">
      <c r="A291" t="s">
        <v>15</v>
      </c>
      <c r="B291">
        <v>1</v>
      </c>
      <c r="Q291" t="s">
        <v>222</v>
      </c>
    </row>
    <row r="292" spans="1:19">
      <c r="A292" t="s">
        <v>16</v>
      </c>
      <c r="B292" t="s">
        <v>17</v>
      </c>
      <c r="Q292" t="s">
        <v>222</v>
      </c>
    </row>
    <row r="293" spans="1:19">
      <c r="A293" t="s">
        <v>18</v>
      </c>
      <c r="B293" t="s">
        <v>18</v>
      </c>
      <c r="E293" t="s">
        <v>226</v>
      </c>
      <c r="Q293" t="s">
        <v>222</v>
      </c>
    </row>
    <row r="294" spans="1:19">
      <c r="A294" s="76" t="s">
        <v>19</v>
      </c>
      <c r="Q294" t="s">
        <v>222</v>
      </c>
    </row>
    <row r="295" spans="1:19">
      <c r="A295" s="76" t="s">
        <v>20</v>
      </c>
      <c r="B295" s="76" t="s">
        <v>21</v>
      </c>
      <c r="C295" s="76" t="s">
        <v>209</v>
      </c>
      <c r="D295" s="76" t="s">
        <v>18</v>
      </c>
      <c r="E295" s="76" t="s">
        <v>22</v>
      </c>
      <c r="F295" s="76" t="s">
        <v>7</v>
      </c>
      <c r="G295" s="76" t="s">
        <v>13</v>
      </c>
      <c r="H295" s="76" t="s">
        <v>16</v>
      </c>
      <c r="I295" s="76" t="s">
        <v>23</v>
      </c>
      <c r="J295" s="76" t="s">
        <v>24</v>
      </c>
      <c r="K295" s="76" t="s">
        <v>25</v>
      </c>
      <c r="L295" s="76" t="s">
        <v>26</v>
      </c>
      <c r="M295" s="76" t="s">
        <v>27</v>
      </c>
      <c r="N295" s="76" t="s">
        <v>28</v>
      </c>
      <c r="O295" s="76" t="s">
        <v>11</v>
      </c>
      <c r="P295" s="85" t="s">
        <v>227</v>
      </c>
      <c r="Q295" t="s">
        <v>222</v>
      </c>
    </row>
    <row r="296" spans="1:19">
      <c r="A296" s="45" t="s">
        <v>320</v>
      </c>
      <c r="B296">
        <v>1</v>
      </c>
      <c r="D296" t="s">
        <v>18</v>
      </c>
      <c r="E296" t="s">
        <v>2</v>
      </c>
      <c r="F296" t="s">
        <v>29</v>
      </c>
      <c r="G296" t="s">
        <v>57</v>
      </c>
      <c r="H296" t="s">
        <v>30</v>
      </c>
      <c r="I296">
        <v>1</v>
      </c>
      <c r="J296">
        <v>1</v>
      </c>
      <c r="K296" t="s">
        <v>31</v>
      </c>
      <c r="L296" t="s">
        <v>31</v>
      </c>
      <c r="M296" t="s">
        <v>31</v>
      </c>
      <c r="N296" t="s">
        <v>31</v>
      </c>
      <c r="Q296" t="s">
        <v>222</v>
      </c>
    </row>
    <row r="297" spans="1:19">
      <c r="A297" s="136" t="s">
        <v>339</v>
      </c>
      <c r="B297" s="81">
        <v>229.40000000000003</v>
      </c>
      <c r="C297" s="81"/>
      <c r="D297" s="81" t="s">
        <v>37</v>
      </c>
      <c r="E297" s="81" t="s">
        <v>38</v>
      </c>
      <c r="F297" s="81" t="s">
        <v>29</v>
      </c>
      <c r="G297" s="81" t="s">
        <v>57</v>
      </c>
      <c r="H297" s="81" t="s">
        <v>33</v>
      </c>
      <c r="I297" s="81">
        <v>2</v>
      </c>
      <c r="J297" s="81">
        <f t="shared" ref="J297:J317" si="12">LN(B297)</f>
        <v>5.4354672046952706</v>
      </c>
      <c r="K297" s="81">
        <v>0.30331501776206199</v>
      </c>
      <c r="L297" s="81" t="s">
        <v>31</v>
      </c>
      <c r="M297" s="81" t="s">
        <v>31</v>
      </c>
      <c r="N297" s="81" t="s">
        <v>31</v>
      </c>
      <c r="O297" s="81" t="s">
        <v>253</v>
      </c>
      <c r="P297" s="23" t="s">
        <v>340</v>
      </c>
      <c r="Q297" t="s">
        <v>222</v>
      </c>
    </row>
    <row r="298" spans="1:19">
      <c r="A298" s="137" t="s">
        <v>299</v>
      </c>
      <c r="B298" s="81">
        <v>229.40000000000003</v>
      </c>
      <c r="C298" s="81"/>
      <c r="D298" s="81" t="s">
        <v>37</v>
      </c>
      <c r="E298" s="81" t="s">
        <v>38</v>
      </c>
      <c r="F298" s="81" t="s">
        <v>29</v>
      </c>
      <c r="G298" s="81" t="s">
        <v>57</v>
      </c>
      <c r="H298" s="81" t="s">
        <v>33</v>
      </c>
      <c r="I298" s="81">
        <v>2</v>
      </c>
      <c r="J298" s="81">
        <f t="shared" si="12"/>
        <v>5.4354672046952706</v>
      </c>
      <c r="K298" s="81">
        <v>0.30331501776206199</v>
      </c>
      <c r="L298" s="81" t="s">
        <v>31</v>
      </c>
      <c r="M298" s="81" t="s">
        <v>31</v>
      </c>
      <c r="N298" s="81" t="s">
        <v>31</v>
      </c>
      <c r="O298" s="81" t="s">
        <v>253</v>
      </c>
      <c r="P298" s="23" t="s">
        <v>341</v>
      </c>
      <c r="Q298" t="s">
        <v>222</v>
      </c>
    </row>
    <row r="299" spans="1:19" ht="18" customHeight="1">
      <c r="A299" s="136" t="s">
        <v>252</v>
      </c>
      <c r="B299" s="81">
        <v>114.70000000000002</v>
      </c>
      <c r="C299" s="81"/>
      <c r="D299" s="81" t="s">
        <v>37</v>
      </c>
      <c r="E299" s="80" t="s">
        <v>38</v>
      </c>
      <c r="F299" s="80" t="s">
        <v>29</v>
      </c>
      <c r="G299" s="80" t="s">
        <v>57</v>
      </c>
      <c r="H299" s="80" t="s">
        <v>33</v>
      </c>
      <c r="I299" s="80">
        <v>2</v>
      </c>
      <c r="J299" s="81">
        <f t="shared" si="12"/>
        <v>4.7423200241353252</v>
      </c>
      <c r="K299" s="81">
        <v>0.30331501776206199</v>
      </c>
      <c r="L299" s="81" t="s">
        <v>31</v>
      </c>
      <c r="M299" s="81" t="s">
        <v>31</v>
      </c>
      <c r="N299" s="81" t="s">
        <v>31</v>
      </c>
      <c r="O299" s="81" t="s">
        <v>253</v>
      </c>
      <c r="P299" s="23" t="s">
        <v>342</v>
      </c>
      <c r="Q299" t="s">
        <v>222</v>
      </c>
    </row>
    <row r="300" spans="1:19" ht="18" customHeight="1">
      <c r="A300" s="95" t="s">
        <v>302</v>
      </c>
      <c r="B300" s="97">
        <v>214.106666666667</v>
      </c>
      <c r="C300" s="97"/>
      <c r="D300" s="97" t="s">
        <v>37</v>
      </c>
      <c r="E300" s="97" t="s">
        <v>38</v>
      </c>
      <c r="F300" s="97" t="s">
        <v>29</v>
      </c>
      <c r="G300" s="97" t="s">
        <v>130</v>
      </c>
      <c r="H300" s="97" t="s">
        <v>33</v>
      </c>
      <c r="I300" s="109">
        <v>2</v>
      </c>
      <c r="J300" s="97">
        <f t="shared" si="12"/>
        <v>5.3664743332083207</v>
      </c>
      <c r="K300" s="97">
        <v>0.30331501776206199</v>
      </c>
      <c r="L300" s="97" t="s">
        <v>31</v>
      </c>
      <c r="M300" s="97" t="s">
        <v>31</v>
      </c>
      <c r="N300" s="97" t="s">
        <v>31</v>
      </c>
      <c r="O300" s="97" t="s">
        <v>264</v>
      </c>
      <c r="P300" s="98" t="s">
        <v>343</v>
      </c>
      <c r="Q300" t="s">
        <v>222</v>
      </c>
    </row>
    <row r="301" spans="1:19">
      <c r="A301" s="103" t="s">
        <v>299</v>
      </c>
      <c r="B301" s="105">
        <v>214.106666666667</v>
      </c>
      <c r="C301" s="105"/>
      <c r="D301" s="105" t="s">
        <v>37</v>
      </c>
      <c r="E301" s="105" t="s">
        <v>38</v>
      </c>
      <c r="F301" s="105" t="s">
        <v>29</v>
      </c>
      <c r="G301" s="105" t="s">
        <v>57</v>
      </c>
      <c r="H301" s="105" t="s">
        <v>269</v>
      </c>
      <c r="I301" s="114">
        <v>2</v>
      </c>
      <c r="J301" s="105">
        <f t="shared" si="12"/>
        <v>5.3664743332083207</v>
      </c>
      <c r="K301" s="105">
        <v>0.30331501776206199</v>
      </c>
      <c r="L301" s="105" t="s">
        <v>31</v>
      </c>
      <c r="M301" s="105" t="s">
        <v>31</v>
      </c>
      <c r="N301" s="105" t="s">
        <v>31</v>
      </c>
      <c r="O301" s="105" t="s">
        <v>264</v>
      </c>
      <c r="P301" s="106" t="s">
        <v>344</v>
      </c>
      <c r="Q301" t="s">
        <v>222</v>
      </c>
    </row>
    <row r="302" spans="1:19">
      <c r="A302" s="95" t="s">
        <v>263</v>
      </c>
      <c r="B302" s="79">
        <v>107.053333333333</v>
      </c>
      <c r="C302" s="79"/>
      <c r="D302" s="79" t="s">
        <v>37</v>
      </c>
      <c r="E302" s="79" t="s">
        <v>38</v>
      </c>
      <c r="F302" s="79" t="s">
        <v>29</v>
      </c>
      <c r="G302" s="79" t="s">
        <v>130</v>
      </c>
      <c r="H302" s="79" t="s">
        <v>33</v>
      </c>
      <c r="I302" s="78">
        <v>2</v>
      </c>
      <c r="J302" s="79">
        <f t="shared" si="12"/>
        <v>4.6733271526483708</v>
      </c>
      <c r="K302" s="79">
        <v>0.30331501776206199</v>
      </c>
      <c r="L302" s="79" t="s">
        <v>31</v>
      </c>
      <c r="M302" s="79" t="s">
        <v>31</v>
      </c>
      <c r="N302" s="79" t="s">
        <v>31</v>
      </c>
      <c r="O302" s="79" t="s">
        <v>264</v>
      </c>
      <c r="P302" s="23" t="s">
        <v>345</v>
      </c>
      <c r="Q302" t="s">
        <v>222</v>
      </c>
    </row>
    <row r="303" spans="1:19">
      <c r="A303" s="99" t="s">
        <v>266</v>
      </c>
      <c r="B303" s="79">
        <v>107.053333333333</v>
      </c>
      <c r="C303" s="29" t="s">
        <v>267</v>
      </c>
      <c r="D303" s="79" t="s">
        <v>37</v>
      </c>
      <c r="E303" s="79" t="s">
        <v>38</v>
      </c>
      <c r="F303" s="79" t="s">
        <v>29</v>
      </c>
      <c r="G303" s="79" t="s">
        <v>130</v>
      </c>
      <c r="H303" s="79" t="s">
        <v>33</v>
      </c>
      <c r="I303" s="78">
        <v>2</v>
      </c>
      <c r="J303" s="79">
        <f t="shared" si="12"/>
        <v>4.6733271526483708</v>
      </c>
      <c r="K303" s="79">
        <v>0.30331501776206199</v>
      </c>
      <c r="L303" s="79" t="s">
        <v>31</v>
      </c>
      <c r="M303" s="79" t="s">
        <v>31</v>
      </c>
      <c r="N303" s="79" t="s">
        <v>31</v>
      </c>
      <c r="O303" s="79" t="s">
        <v>264</v>
      </c>
      <c r="P303" s="23" t="s">
        <v>345</v>
      </c>
      <c r="Q303" t="s">
        <v>222</v>
      </c>
    </row>
    <row r="304" spans="1:19">
      <c r="A304" s="117" t="s">
        <v>252</v>
      </c>
      <c r="B304" s="79">
        <v>107.053333333333</v>
      </c>
      <c r="C304" s="79"/>
      <c r="D304" s="79" t="s">
        <v>37</v>
      </c>
      <c r="E304" s="79" t="s">
        <v>38</v>
      </c>
      <c r="F304" s="79" t="s">
        <v>29</v>
      </c>
      <c r="G304" s="79" t="s">
        <v>57</v>
      </c>
      <c r="H304" s="79" t="s">
        <v>269</v>
      </c>
      <c r="I304" s="78">
        <v>2</v>
      </c>
      <c r="J304" s="79">
        <f t="shared" si="12"/>
        <v>4.6733271526483708</v>
      </c>
      <c r="K304" s="79">
        <v>0.30331501776206199</v>
      </c>
      <c r="L304" s="79" t="s">
        <v>31</v>
      </c>
      <c r="M304" s="79" t="s">
        <v>31</v>
      </c>
      <c r="N304" s="79" t="s">
        <v>31</v>
      </c>
      <c r="O304" s="79" t="s">
        <v>264</v>
      </c>
      <c r="P304" s="23" t="s">
        <v>346</v>
      </c>
      <c r="Q304" t="s">
        <v>222</v>
      </c>
      <c r="S304" s="85" t="s">
        <v>233</v>
      </c>
    </row>
    <row r="305" spans="1:24">
      <c r="A305" t="s">
        <v>77</v>
      </c>
      <c r="B305" s="86">
        <v>918.10189566796214</v>
      </c>
      <c r="C305" s="86"/>
      <c r="D305" t="s">
        <v>78</v>
      </c>
      <c r="E305" s="23" t="s">
        <v>38</v>
      </c>
      <c r="F305" s="23" t="s">
        <v>29</v>
      </c>
      <c r="G305" s="23" t="s">
        <v>57</v>
      </c>
      <c r="H305" s="23" t="s">
        <v>33</v>
      </c>
      <c r="I305" s="23">
        <v>2</v>
      </c>
      <c r="J305">
        <f t="shared" si="12"/>
        <v>6.822308381920382</v>
      </c>
      <c r="K305">
        <v>0.28635642126552702</v>
      </c>
      <c r="L305" t="s">
        <v>31</v>
      </c>
      <c r="M305" t="s">
        <v>31</v>
      </c>
      <c r="N305" t="s">
        <v>31</v>
      </c>
      <c r="P305" s="23"/>
      <c r="Q305" t="s">
        <v>222</v>
      </c>
    </row>
    <row r="306" spans="1:24">
      <c r="A306" s="23" t="s">
        <v>80</v>
      </c>
      <c r="B306" s="23">
        <v>86.776521882674956</v>
      </c>
      <c r="C306" s="23"/>
      <c r="D306" s="23" t="s">
        <v>48</v>
      </c>
      <c r="E306" s="23" t="s">
        <v>38</v>
      </c>
      <c r="F306" s="23" t="s">
        <v>29</v>
      </c>
      <c r="G306" s="23" t="s">
        <v>235</v>
      </c>
      <c r="H306" s="23" t="s">
        <v>33</v>
      </c>
      <c r="I306" s="23">
        <v>2</v>
      </c>
      <c r="J306">
        <f t="shared" si="12"/>
        <v>4.4633360998559404</v>
      </c>
      <c r="K306">
        <v>0.28635642126552702</v>
      </c>
      <c r="L306" t="s">
        <v>31</v>
      </c>
      <c r="M306" t="s">
        <v>31</v>
      </c>
      <c r="N306" t="s">
        <v>31</v>
      </c>
      <c r="P306" s="23"/>
      <c r="Q306" t="s">
        <v>222</v>
      </c>
      <c r="R306" s="23"/>
      <c r="S306" s="89">
        <v>923.20651303863372</v>
      </c>
      <c r="T306" s="23" t="s">
        <v>236</v>
      </c>
      <c r="U306" s="23">
        <f>S306/0.277778</f>
        <v>3323.5407881064507</v>
      </c>
      <c r="V306" s="23" t="s">
        <v>237</v>
      </c>
      <c r="W306" s="23">
        <f>U306/38.3</f>
        <v>86.776521882674956</v>
      </c>
      <c r="X306" s="23" t="s">
        <v>238</v>
      </c>
    </row>
    <row r="307" spans="1:24">
      <c r="A307" s="29" t="s">
        <v>239</v>
      </c>
      <c r="B307">
        <v>414.78629109069448</v>
      </c>
      <c r="D307" s="23" t="s">
        <v>172</v>
      </c>
      <c r="E307" s="23" t="s">
        <v>38</v>
      </c>
      <c r="F307" s="23" t="s">
        <v>29</v>
      </c>
      <c r="G307" s="23" t="s">
        <v>57</v>
      </c>
      <c r="H307" s="23" t="s">
        <v>33</v>
      </c>
      <c r="I307" s="23">
        <v>2</v>
      </c>
      <c r="J307">
        <f t="shared" si="12"/>
        <v>6.0277634263653859</v>
      </c>
      <c r="K307">
        <v>0.28635642126552702</v>
      </c>
      <c r="L307" t="s">
        <v>31</v>
      </c>
      <c r="M307" t="s">
        <v>31</v>
      </c>
      <c r="N307" t="s">
        <v>31</v>
      </c>
      <c r="P307" s="23"/>
      <c r="Q307" t="s">
        <v>222</v>
      </c>
      <c r="R307" s="29"/>
      <c r="S307" s="89">
        <v>115.21850636659094</v>
      </c>
      <c r="T307" s="23" t="s">
        <v>236</v>
      </c>
      <c r="U307" s="23">
        <f>S307/0.277778</f>
        <v>414.78629109069448</v>
      </c>
      <c r="V307" s="23" t="s">
        <v>237</v>
      </c>
    </row>
    <row r="308" spans="1:24">
      <c r="A308" s="29" t="s">
        <v>73</v>
      </c>
      <c r="B308">
        <v>19.630623801336835</v>
      </c>
      <c r="D308" s="23" t="s">
        <v>37</v>
      </c>
      <c r="E308" s="23" t="s">
        <v>38</v>
      </c>
      <c r="F308" s="23" t="s">
        <v>29</v>
      </c>
      <c r="G308" s="23" t="s">
        <v>57</v>
      </c>
      <c r="H308" s="23" t="s">
        <v>33</v>
      </c>
      <c r="I308" s="23">
        <v>2</v>
      </c>
      <c r="J308">
        <f t="shared" si="12"/>
        <v>2.9770907857425457</v>
      </c>
      <c r="K308">
        <v>0.28635642126552702</v>
      </c>
      <c r="L308" t="s">
        <v>31</v>
      </c>
      <c r="M308" t="s">
        <v>31</v>
      </c>
      <c r="N308" t="s">
        <v>31</v>
      </c>
      <c r="P308" s="23"/>
      <c r="Q308" t="s">
        <v>222</v>
      </c>
      <c r="R308" s="29"/>
      <c r="S308" s="89">
        <v>244.29240273929091</v>
      </c>
      <c r="T308" s="23" t="s">
        <v>236</v>
      </c>
      <c r="U308" s="23">
        <f>S308/0.277778</f>
        <v>879.4519462998901</v>
      </c>
      <c r="V308" s="23" t="s">
        <v>237</v>
      </c>
      <c r="W308" s="23">
        <f>U308/44.8</f>
        <v>19.630623801336835</v>
      </c>
      <c r="X308" s="23" t="s">
        <v>240</v>
      </c>
    </row>
    <row r="309" spans="1:24">
      <c r="A309" s="29" t="s">
        <v>36</v>
      </c>
      <c r="B309">
        <v>38.753390668509724</v>
      </c>
      <c r="D309" s="23" t="s">
        <v>37</v>
      </c>
      <c r="E309" s="23" t="s">
        <v>38</v>
      </c>
      <c r="F309" s="23" t="s">
        <v>29</v>
      </c>
      <c r="G309" s="23" t="s">
        <v>130</v>
      </c>
      <c r="H309" s="23" t="s">
        <v>33</v>
      </c>
      <c r="I309" s="23">
        <v>2</v>
      </c>
      <c r="J309">
        <f t="shared" si="12"/>
        <v>3.6572182530941877</v>
      </c>
      <c r="K309">
        <v>0.28635642126552702</v>
      </c>
      <c r="L309" t="s">
        <v>31</v>
      </c>
      <c r="M309" t="s">
        <v>31</v>
      </c>
      <c r="N309" t="s">
        <v>31</v>
      </c>
      <c r="P309" s="23"/>
      <c r="Q309" t="s">
        <v>222</v>
      </c>
      <c r="R309" s="29"/>
      <c r="S309" s="89">
        <v>497.33557811401909</v>
      </c>
      <c r="T309" s="23" t="s">
        <v>236</v>
      </c>
      <c r="U309" s="23">
        <f>S309/0.277778</f>
        <v>1790.4066488851495</v>
      </c>
      <c r="V309" s="23" t="s">
        <v>237</v>
      </c>
      <c r="W309" s="23">
        <f>U309/46.2</f>
        <v>38.753390668509724</v>
      </c>
      <c r="X309" s="23" t="s">
        <v>240</v>
      </c>
    </row>
    <row r="310" spans="1:24" s="91" customFormat="1">
      <c r="A310" s="73" t="s">
        <v>56</v>
      </c>
      <c r="B310" s="89">
        <f>W310</f>
        <v>0.23865724458613036</v>
      </c>
      <c r="C310" s="89"/>
      <c r="D310" s="23" t="s">
        <v>37</v>
      </c>
      <c r="E310" t="s">
        <v>2</v>
      </c>
      <c r="F310" s="23" t="s">
        <v>206</v>
      </c>
      <c r="G310" s="23" t="s">
        <v>57</v>
      </c>
      <c r="H310" s="23" t="s">
        <v>33</v>
      </c>
      <c r="I310" s="23">
        <v>2</v>
      </c>
      <c r="J310" s="23">
        <f t="shared" si="12"/>
        <v>-1.4327268794599515</v>
      </c>
      <c r="K310" s="23">
        <v>0.28635642126552702</v>
      </c>
      <c r="L310" s="23" t="s">
        <v>31</v>
      </c>
      <c r="M310" s="23" t="s">
        <v>31</v>
      </c>
      <c r="N310" s="23" t="s">
        <v>31</v>
      </c>
      <c r="P310" s="23"/>
      <c r="Q310" t="s">
        <v>222</v>
      </c>
      <c r="R310" s="90"/>
      <c r="S310" s="89">
        <v>2.9169242118124292</v>
      </c>
      <c r="T310" s="23" t="s">
        <v>236</v>
      </c>
      <c r="U310" s="23">
        <f>S310/0.277778</f>
        <v>10.500918761789736</v>
      </c>
      <c r="V310" s="23" t="s">
        <v>237</v>
      </c>
      <c r="W310" s="23">
        <f>U310/44</f>
        <v>0.23865724458613036</v>
      </c>
      <c r="X310" s="23" t="s">
        <v>240</v>
      </c>
    </row>
    <row r="311" spans="1:24">
      <c r="A311" s="23" t="s">
        <v>82</v>
      </c>
      <c r="B311" s="86">
        <v>2239.997069668003</v>
      </c>
      <c r="C311" s="86"/>
      <c r="D311" t="s">
        <v>37</v>
      </c>
      <c r="E311" t="s">
        <v>38</v>
      </c>
      <c r="F311" t="s">
        <v>29</v>
      </c>
      <c r="G311" t="s">
        <v>57</v>
      </c>
      <c r="H311" t="s">
        <v>33</v>
      </c>
      <c r="I311" s="23">
        <v>2</v>
      </c>
      <c r="J311">
        <f t="shared" si="12"/>
        <v>7.7142298366643027</v>
      </c>
      <c r="K311">
        <v>0.28635642126552702</v>
      </c>
      <c r="L311" t="s">
        <v>31</v>
      </c>
      <c r="M311" t="s">
        <v>31</v>
      </c>
      <c r="N311" t="s">
        <v>31</v>
      </c>
      <c r="P311" s="23"/>
      <c r="Q311" t="s">
        <v>222</v>
      </c>
    </row>
    <row r="312" spans="1:24">
      <c r="A312" s="88" t="s">
        <v>242</v>
      </c>
      <c r="B312">
        <v>2.093438586803027</v>
      </c>
      <c r="D312" s="23" t="s">
        <v>48</v>
      </c>
      <c r="E312" s="23" t="s">
        <v>38</v>
      </c>
      <c r="F312" s="23" t="s">
        <v>29</v>
      </c>
      <c r="G312" s="33" t="s">
        <v>130</v>
      </c>
      <c r="H312" s="23" t="s">
        <v>33</v>
      </c>
      <c r="I312" s="23">
        <v>2</v>
      </c>
      <c r="J312">
        <f t="shared" si="12"/>
        <v>0.73880797086790206</v>
      </c>
      <c r="K312">
        <v>0.28635642126552702</v>
      </c>
      <c r="L312" t="s">
        <v>31</v>
      </c>
      <c r="M312" t="s">
        <v>31</v>
      </c>
      <c r="N312" t="s">
        <v>31</v>
      </c>
      <c r="P312" s="23"/>
      <c r="Q312" t="s">
        <v>222</v>
      </c>
    </row>
    <row r="313" spans="1:24">
      <c r="A313" t="s">
        <v>243</v>
      </c>
      <c r="B313" s="86">
        <v>50.798235148713452</v>
      </c>
      <c r="C313" s="86"/>
      <c r="D313" t="s">
        <v>37</v>
      </c>
      <c r="E313" t="s">
        <v>38</v>
      </c>
      <c r="F313" t="s">
        <v>29</v>
      </c>
      <c r="G313" t="s">
        <v>130</v>
      </c>
      <c r="H313" t="s">
        <v>33</v>
      </c>
      <c r="I313" s="23">
        <v>2</v>
      </c>
      <c r="J313">
        <f t="shared" si="12"/>
        <v>3.9278616128138899</v>
      </c>
      <c r="K313">
        <v>0.28635642126552702</v>
      </c>
      <c r="L313" t="s">
        <v>31</v>
      </c>
      <c r="M313" t="s">
        <v>31</v>
      </c>
      <c r="N313" t="s">
        <v>31</v>
      </c>
      <c r="P313" s="23"/>
      <c r="Q313" t="s">
        <v>222</v>
      </c>
    </row>
    <row r="314" spans="1:24">
      <c r="A314" t="s">
        <v>46</v>
      </c>
      <c r="B314" s="86">
        <v>954.36582670026701</v>
      </c>
      <c r="C314" s="86"/>
      <c r="D314" t="s">
        <v>37</v>
      </c>
      <c r="E314" t="s">
        <v>41</v>
      </c>
      <c r="F314" t="s">
        <v>42</v>
      </c>
      <c r="G314" t="s">
        <v>29</v>
      </c>
      <c r="H314" t="s">
        <v>43</v>
      </c>
      <c r="I314" s="23">
        <v>2</v>
      </c>
      <c r="J314">
        <f t="shared" si="12"/>
        <v>6.8610470640867733</v>
      </c>
      <c r="K314">
        <v>0.28635642126552702</v>
      </c>
      <c r="L314" t="s">
        <v>31</v>
      </c>
      <c r="M314" t="s">
        <v>31</v>
      </c>
      <c r="N314" t="s">
        <v>31</v>
      </c>
      <c r="P314" s="23"/>
      <c r="Q314" t="s">
        <v>222</v>
      </c>
    </row>
    <row r="315" spans="1:24">
      <c r="A315" t="s">
        <v>49</v>
      </c>
      <c r="B315" s="86">
        <v>1.0209234741343503E-2</v>
      </c>
      <c r="C315" s="86"/>
      <c r="D315" t="s">
        <v>37</v>
      </c>
      <c r="E315" t="s">
        <v>41</v>
      </c>
      <c r="F315" t="s">
        <v>42</v>
      </c>
      <c r="G315" t="s">
        <v>29</v>
      </c>
      <c r="H315" t="s">
        <v>43</v>
      </c>
      <c r="I315" s="23">
        <v>2</v>
      </c>
      <c r="J315">
        <f t="shared" si="12"/>
        <v>-4.5844626014908432</v>
      </c>
      <c r="K315">
        <v>0.28635642126552702</v>
      </c>
      <c r="L315" t="s">
        <v>31</v>
      </c>
      <c r="M315" t="s">
        <v>31</v>
      </c>
      <c r="N315" t="s">
        <v>31</v>
      </c>
      <c r="P315" s="23"/>
      <c r="Q315" t="s">
        <v>222</v>
      </c>
    </row>
    <row r="316" spans="1:24">
      <c r="A316" t="s">
        <v>40</v>
      </c>
      <c r="B316">
        <v>0.1618892937555898</v>
      </c>
      <c r="D316" t="s">
        <v>37</v>
      </c>
      <c r="E316" t="s">
        <v>41</v>
      </c>
      <c r="F316" t="s">
        <v>42</v>
      </c>
      <c r="G316" t="s">
        <v>29</v>
      </c>
      <c r="H316" t="s">
        <v>43</v>
      </c>
      <c r="I316" s="23">
        <v>2</v>
      </c>
      <c r="J316">
        <f t="shared" si="12"/>
        <v>-1.8208425492338229</v>
      </c>
      <c r="K316">
        <v>0.28635642126552702</v>
      </c>
      <c r="L316" t="s">
        <v>31</v>
      </c>
      <c r="M316" t="s">
        <v>31</v>
      </c>
      <c r="N316" t="s">
        <v>31</v>
      </c>
      <c r="P316" s="23"/>
      <c r="Q316" t="s">
        <v>222</v>
      </c>
    </row>
    <row r="317" spans="1:24">
      <c r="A317" t="s">
        <v>245</v>
      </c>
      <c r="B317">
        <v>0.76642183665371566</v>
      </c>
      <c r="D317" t="s">
        <v>37</v>
      </c>
      <c r="E317" t="s">
        <v>41</v>
      </c>
      <c r="F317" t="s">
        <v>42</v>
      </c>
      <c r="G317" t="s">
        <v>29</v>
      </c>
      <c r="H317" t="s">
        <v>43</v>
      </c>
      <c r="I317" s="23">
        <v>2</v>
      </c>
      <c r="J317">
        <f t="shared" si="12"/>
        <v>-0.26602256022915127</v>
      </c>
      <c r="K317">
        <v>0.28635642126552702</v>
      </c>
      <c r="L317" t="s">
        <v>31</v>
      </c>
      <c r="M317" t="s">
        <v>31</v>
      </c>
      <c r="N317" t="s">
        <v>31</v>
      </c>
      <c r="P317" s="23"/>
      <c r="Q317" t="s">
        <v>222</v>
      </c>
    </row>
    <row r="318" spans="1:24" s="28" customFormat="1">
      <c r="A318" s="82" t="s">
        <v>5</v>
      </c>
      <c r="B318" s="82" t="s">
        <v>321</v>
      </c>
      <c r="C318" s="82"/>
      <c r="D318" s="26"/>
      <c r="Q318" s="28" t="s">
        <v>222</v>
      </c>
      <c r="S318" s="83"/>
      <c r="T318" s="83"/>
      <c r="U318" s="83"/>
      <c r="V318" s="83"/>
      <c r="W318" s="83"/>
      <c r="X318" s="83"/>
    </row>
    <row r="319" spans="1:24">
      <c r="A319" t="s">
        <v>7</v>
      </c>
      <c r="B319" t="s">
        <v>223</v>
      </c>
      <c r="Q319" t="s">
        <v>222</v>
      </c>
    </row>
    <row r="320" spans="1:24">
      <c r="A320" t="s">
        <v>9</v>
      </c>
      <c r="B320" s="84" t="s">
        <v>347</v>
      </c>
      <c r="C320" s="23"/>
      <c r="Q320" t="s">
        <v>222</v>
      </c>
    </row>
    <row r="321" spans="1:17">
      <c r="A321" t="s">
        <v>11</v>
      </c>
      <c r="B321" t="s">
        <v>348</v>
      </c>
      <c r="Q321" t="s">
        <v>222</v>
      </c>
    </row>
    <row r="322" spans="1:17">
      <c r="A322" t="s">
        <v>13</v>
      </c>
      <c r="B322" t="s">
        <v>57</v>
      </c>
      <c r="Q322" t="s">
        <v>222</v>
      </c>
    </row>
    <row r="323" spans="1:17">
      <c r="A323" t="s">
        <v>15</v>
      </c>
      <c r="B323">
        <v>1</v>
      </c>
      <c r="Q323" t="s">
        <v>222</v>
      </c>
    </row>
    <row r="324" spans="1:17">
      <c r="A324" t="s">
        <v>16</v>
      </c>
      <c r="B324" t="s">
        <v>17</v>
      </c>
      <c r="Q324" t="s">
        <v>222</v>
      </c>
    </row>
    <row r="325" spans="1:17">
      <c r="A325" t="s">
        <v>18</v>
      </c>
      <c r="B325" t="s">
        <v>18</v>
      </c>
      <c r="E325" t="s">
        <v>226</v>
      </c>
      <c r="Q325" t="s">
        <v>222</v>
      </c>
    </row>
    <row r="326" spans="1:17">
      <c r="A326" s="76" t="s">
        <v>19</v>
      </c>
      <c r="Q326" t="s">
        <v>222</v>
      </c>
    </row>
    <row r="327" spans="1:17">
      <c r="A327" s="76" t="s">
        <v>20</v>
      </c>
      <c r="B327" s="76" t="s">
        <v>21</v>
      </c>
      <c r="C327" s="76" t="s">
        <v>209</v>
      </c>
      <c r="D327" s="76" t="s">
        <v>18</v>
      </c>
      <c r="E327" s="76" t="s">
        <v>22</v>
      </c>
      <c r="F327" s="76" t="s">
        <v>7</v>
      </c>
      <c r="G327" s="76" t="s">
        <v>13</v>
      </c>
      <c r="H327" s="76" t="s">
        <v>16</v>
      </c>
      <c r="I327" s="76" t="s">
        <v>23</v>
      </c>
      <c r="J327" s="76" t="s">
        <v>24</v>
      </c>
      <c r="K327" s="76" t="s">
        <v>25</v>
      </c>
      <c r="L327" s="76" t="s">
        <v>26</v>
      </c>
      <c r="M327" s="76" t="s">
        <v>27</v>
      </c>
      <c r="N327" s="76" t="s">
        <v>28</v>
      </c>
      <c r="O327" s="76" t="s">
        <v>11</v>
      </c>
      <c r="P327" s="85" t="s">
        <v>227</v>
      </c>
      <c r="Q327" t="s">
        <v>222</v>
      </c>
    </row>
    <row r="328" spans="1:17">
      <c r="A328" s="45" t="s">
        <v>321</v>
      </c>
      <c r="B328">
        <v>1</v>
      </c>
      <c r="D328" t="s">
        <v>18</v>
      </c>
      <c r="E328" t="s">
        <v>2</v>
      </c>
      <c r="F328" t="s">
        <v>29</v>
      </c>
      <c r="G328" t="s">
        <v>57</v>
      </c>
      <c r="H328" t="s">
        <v>30</v>
      </c>
      <c r="I328">
        <v>1</v>
      </c>
      <c r="J328">
        <v>1</v>
      </c>
      <c r="K328" t="s">
        <v>31</v>
      </c>
      <c r="L328" t="s">
        <v>31</v>
      </c>
      <c r="M328" t="s">
        <v>31</v>
      </c>
      <c r="N328" t="s">
        <v>31</v>
      </c>
      <c r="Q328" t="s">
        <v>222</v>
      </c>
    </row>
    <row r="329" spans="1:17">
      <c r="A329" s="93" t="s">
        <v>252</v>
      </c>
      <c r="B329" s="81">
        <v>275.28000000000003</v>
      </c>
      <c r="C329" s="81"/>
      <c r="D329" s="81" t="s">
        <v>37</v>
      </c>
      <c r="E329" s="81" t="s">
        <v>38</v>
      </c>
      <c r="F329" s="81" t="s">
        <v>29</v>
      </c>
      <c r="G329" s="81" t="s">
        <v>57</v>
      </c>
      <c r="H329" s="81" t="s">
        <v>33</v>
      </c>
      <c r="I329" s="81">
        <v>2</v>
      </c>
      <c r="J329" s="81">
        <f t="shared" ref="J329:J348" si="13">LN(B329)</f>
        <v>5.6177887614892255</v>
      </c>
      <c r="K329" s="81">
        <v>0.30331501776206199</v>
      </c>
      <c r="L329" s="81" t="s">
        <v>31</v>
      </c>
      <c r="M329" s="81" t="s">
        <v>31</v>
      </c>
      <c r="N329" s="81" t="s">
        <v>31</v>
      </c>
      <c r="O329" s="81" t="s">
        <v>253</v>
      </c>
      <c r="P329" s="23" t="s">
        <v>349</v>
      </c>
      <c r="Q329" t="s">
        <v>222</v>
      </c>
    </row>
    <row r="330" spans="1:17">
      <c r="A330" s="93" t="s">
        <v>350</v>
      </c>
      <c r="B330" s="81">
        <v>275.28000000000003</v>
      </c>
      <c r="C330" s="81"/>
      <c r="D330" s="81" t="s">
        <v>37</v>
      </c>
      <c r="E330" s="81" t="s">
        <v>38</v>
      </c>
      <c r="F330" s="81" t="s">
        <v>29</v>
      </c>
      <c r="G330" s="81" t="s">
        <v>57</v>
      </c>
      <c r="H330" s="81" t="s">
        <v>33</v>
      </c>
      <c r="I330" s="80">
        <v>2</v>
      </c>
      <c r="J330" s="81">
        <f t="shared" si="13"/>
        <v>5.6177887614892255</v>
      </c>
      <c r="K330" s="81">
        <v>0.30331501776206199</v>
      </c>
      <c r="L330" s="81" t="s">
        <v>31</v>
      </c>
      <c r="M330" s="81" t="s">
        <v>31</v>
      </c>
      <c r="N330" s="81" t="s">
        <v>31</v>
      </c>
      <c r="O330" s="81" t="s">
        <v>253</v>
      </c>
      <c r="P330" s="23" t="s">
        <v>351</v>
      </c>
      <c r="Q330" t="s">
        <v>222</v>
      </c>
    </row>
    <row r="331" spans="1:17">
      <c r="A331" s="93" t="s">
        <v>352</v>
      </c>
      <c r="B331" s="81">
        <v>137.64000000000001</v>
      </c>
      <c r="C331" s="81"/>
      <c r="D331" s="81" t="s">
        <v>37</v>
      </c>
      <c r="E331" s="81" t="s">
        <v>38</v>
      </c>
      <c r="F331" s="81" t="s">
        <v>29</v>
      </c>
      <c r="G331" s="81" t="s">
        <v>57</v>
      </c>
      <c r="H331" s="81" t="s">
        <v>33</v>
      </c>
      <c r="I331" s="80">
        <v>2</v>
      </c>
      <c r="J331" s="81">
        <f t="shared" si="13"/>
        <v>4.9246415809292801</v>
      </c>
      <c r="K331" s="81">
        <v>0.30331501776206199</v>
      </c>
      <c r="L331" s="81" t="s">
        <v>31</v>
      </c>
      <c r="M331" s="81" t="s">
        <v>31</v>
      </c>
      <c r="N331" s="81" t="s">
        <v>31</v>
      </c>
      <c r="O331" s="81" t="s">
        <v>253</v>
      </c>
      <c r="P331" s="23" t="s">
        <v>222</v>
      </c>
      <c r="Q331" t="s">
        <v>222</v>
      </c>
    </row>
    <row r="332" spans="1:17">
      <c r="A332" s="95" t="s">
        <v>263</v>
      </c>
      <c r="B332" s="79">
        <v>256.928</v>
      </c>
      <c r="C332" s="79"/>
      <c r="D332" s="79" t="s">
        <v>37</v>
      </c>
      <c r="E332" s="79" t="s">
        <v>38</v>
      </c>
      <c r="F332" s="79" t="s">
        <v>29</v>
      </c>
      <c r="G332" s="79" t="s">
        <v>130</v>
      </c>
      <c r="H332" s="79" t="s">
        <v>33</v>
      </c>
      <c r="I332" s="78">
        <v>2</v>
      </c>
      <c r="J332" s="79">
        <f t="shared" si="13"/>
        <v>5.5487958900022738</v>
      </c>
      <c r="K332" s="79">
        <v>0.30331501776206199</v>
      </c>
      <c r="L332" s="79" t="s">
        <v>31</v>
      </c>
      <c r="M332" s="79" t="s">
        <v>31</v>
      </c>
      <c r="N332" s="79" t="s">
        <v>31</v>
      </c>
      <c r="O332" s="79" t="s">
        <v>264</v>
      </c>
      <c r="P332" s="23" t="s">
        <v>345</v>
      </c>
      <c r="Q332" t="s">
        <v>222</v>
      </c>
    </row>
    <row r="333" spans="1:17">
      <c r="A333" s="99" t="s">
        <v>266</v>
      </c>
      <c r="B333" s="79">
        <v>256.928</v>
      </c>
      <c r="C333" s="138" t="s">
        <v>267</v>
      </c>
      <c r="D333" s="79" t="s">
        <v>37</v>
      </c>
      <c r="E333" s="79" t="s">
        <v>38</v>
      </c>
      <c r="F333" s="79" t="s">
        <v>29</v>
      </c>
      <c r="G333" s="79" t="s">
        <v>130</v>
      </c>
      <c r="H333" s="79" t="s">
        <v>33</v>
      </c>
      <c r="I333" s="78">
        <v>2</v>
      </c>
      <c r="J333" s="79">
        <f t="shared" si="13"/>
        <v>5.5487958900022738</v>
      </c>
      <c r="K333" s="79">
        <v>0.30331501776206199</v>
      </c>
      <c r="L333" s="79" t="s">
        <v>31</v>
      </c>
      <c r="M333" s="79" t="s">
        <v>31</v>
      </c>
      <c r="N333" s="79" t="s">
        <v>31</v>
      </c>
      <c r="O333" s="79" t="s">
        <v>264</v>
      </c>
      <c r="P333" s="23" t="s">
        <v>345</v>
      </c>
      <c r="Q333" t="s">
        <v>222</v>
      </c>
    </row>
    <row r="334" spans="1:17">
      <c r="A334" s="134" t="s">
        <v>252</v>
      </c>
      <c r="B334" s="79">
        <v>256.928</v>
      </c>
      <c r="C334" s="79"/>
      <c r="D334" s="79" t="s">
        <v>37</v>
      </c>
      <c r="E334" s="79" t="s">
        <v>38</v>
      </c>
      <c r="F334" s="79" t="s">
        <v>29</v>
      </c>
      <c r="G334" s="79" t="s">
        <v>57</v>
      </c>
      <c r="H334" s="79" t="s">
        <v>269</v>
      </c>
      <c r="I334" s="78">
        <v>2</v>
      </c>
      <c r="J334" s="79">
        <f t="shared" si="13"/>
        <v>5.5487958900022738</v>
      </c>
      <c r="K334" s="79">
        <v>0.30331501776206199</v>
      </c>
      <c r="L334" s="79" t="s">
        <v>31</v>
      </c>
      <c r="M334" s="79" t="s">
        <v>31</v>
      </c>
      <c r="N334" s="79" t="s">
        <v>31</v>
      </c>
      <c r="O334" s="79" t="s">
        <v>264</v>
      </c>
      <c r="P334" s="23" t="s">
        <v>346</v>
      </c>
      <c r="Q334" t="s">
        <v>222</v>
      </c>
    </row>
    <row r="335" spans="1:17">
      <c r="A335" s="95" t="s">
        <v>302</v>
      </c>
      <c r="B335" s="97">
        <v>256.928</v>
      </c>
      <c r="C335" s="97"/>
      <c r="D335" s="97" t="s">
        <v>37</v>
      </c>
      <c r="E335" s="97" t="s">
        <v>38</v>
      </c>
      <c r="F335" s="97" t="s">
        <v>29</v>
      </c>
      <c r="G335" s="97" t="s">
        <v>130</v>
      </c>
      <c r="H335" s="97" t="s">
        <v>33</v>
      </c>
      <c r="I335" s="109">
        <v>2</v>
      </c>
      <c r="J335" s="97">
        <f t="shared" si="13"/>
        <v>5.5487958900022738</v>
      </c>
      <c r="K335" s="97">
        <v>0.30331501776206199</v>
      </c>
      <c r="L335" s="97" t="s">
        <v>31</v>
      </c>
      <c r="M335" s="97" t="s">
        <v>31</v>
      </c>
      <c r="N335" s="97" t="s">
        <v>31</v>
      </c>
      <c r="O335" s="97" t="s">
        <v>264</v>
      </c>
      <c r="P335" s="98" t="s">
        <v>353</v>
      </c>
      <c r="Q335" t="s">
        <v>222</v>
      </c>
    </row>
    <row r="336" spans="1:17">
      <c r="A336" s="103" t="s">
        <v>350</v>
      </c>
      <c r="B336" s="105">
        <v>256.928</v>
      </c>
      <c r="C336" s="105"/>
      <c r="D336" s="105" t="s">
        <v>37</v>
      </c>
      <c r="E336" s="105" t="s">
        <v>38</v>
      </c>
      <c r="F336" s="105" t="s">
        <v>29</v>
      </c>
      <c r="G336" s="105" t="s">
        <v>57</v>
      </c>
      <c r="H336" s="105" t="s">
        <v>269</v>
      </c>
      <c r="I336" s="114">
        <v>2</v>
      </c>
      <c r="J336" s="105">
        <f t="shared" si="13"/>
        <v>5.5487958900022738</v>
      </c>
      <c r="K336" s="105">
        <v>0.30331501776206199</v>
      </c>
      <c r="L336" s="105" t="s">
        <v>31</v>
      </c>
      <c r="M336" s="105" t="s">
        <v>31</v>
      </c>
      <c r="N336" s="105" t="s">
        <v>31</v>
      </c>
      <c r="O336" s="105" t="s">
        <v>264</v>
      </c>
      <c r="P336" s="106" t="s">
        <v>354</v>
      </c>
      <c r="Q336" t="s">
        <v>222</v>
      </c>
    </row>
    <row r="337" spans="1:24">
      <c r="A337" s="134" t="s">
        <v>355</v>
      </c>
      <c r="B337" s="79">
        <v>128.464</v>
      </c>
      <c r="C337" s="79"/>
      <c r="D337" s="79" t="s">
        <v>37</v>
      </c>
      <c r="E337" s="79" t="s">
        <v>38</v>
      </c>
      <c r="F337" s="79" t="s">
        <v>29</v>
      </c>
      <c r="G337" s="79" t="s">
        <v>130</v>
      </c>
      <c r="H337" s="79" t="s">
        <v>33</v>
      </c>
      <c r="I337" s="78">
        <v>2</v>
      </c>
      <c r="J337" s="79">
        <f t="shared" si="13"/>
        <v>4.8556487094423284</v>
      </c>
      <c r="K337" s="79">
        <v>0.30331501776206199</v>
      </c>
      <c r="L337" s="79" t="s">
        <v>31</v>
      </c>
      <c r="M337" s="79" t="s">
        <v>31</v>
      </c>
      <c r="N337" s="79" t="s">
        <v>31</v>
      </c>
      <c r="O337" s="79" t="s">
        <v>264</v>
      </c>
      <c r="P337" s="23" t="s">
        <v>356</v>
      </c>
      <c r="Q337" t="s">
        <v>222</v>
      </c>
      <c r="S337" s="85" t="s">
        <v>233</v>
      </c>
    </row>
    <row r="338" spans="1:24">
      <c r="A338" t="s">
        <v>77</v>
      </c>
      <c r="B338" s="89">
        <v>1836.2037913359243</v>
      </c>
      <c r="C338" s="89"/>
      <c r="D338" s="23" t="s">
        <v>78</v>
      </c>
      <c r="E338" s="23" t="s">
        <v>38</v>
      </c>
      <c r="F338" s="23" t="s">
        <v>29</v>
      </c>
      <c r="G338" s="23" t="s">
        <v>57</v>
      </c>
      <c r="H338" s="23" t="s">
        <v>33</v>
      </c>
      <c r="I338" s="23">
        <v>2</v>
      </c>
      <c r="J338">
        <f t="shared" si="13"/>
        <v>7.5154555624803274</v>
      </c>
      <c r="K338">
        <v>0.28635642126552702</v>
      </c>
      <c r="L338" t="s">
        <v>31</v>
      </c>
      <c r="M338" t="s">
        <v>31</v>
      </c>
      <c r="N338" t="s">
        <v>31</v>
      </c>
      <c r="Q338" t="s">
        <v>222</v>
      </c>
    </row>
    <row r="339" spans="1:24">
      <c r="A339" s="23" t="s">
        <v>80</v>
      </c>
      <c r="B339" s="89">
        <v>173.55304376534991</v>
      </c>
      <c r="C339" s="89"/>
      <c r="D339" s="23" t="s">
        <v>48</v>
      </c>
      <c r="E339" s="23" t="s">
        <v>38</v>
      </c>
      <c r="F339" s="23" t="s">
        <v>29</v>
      </c>
      <c r="G339" s="23" t="s">
        <v>235</v>
      </c>
      <c r="H339" s="23" t="s">
        <v>33</v>
      </c>
      <c r="I339" s="23">
        <v>2</v>
      </c>
      <c r="J339">
        <f t="shared" si="13"/>
        <v>5.1564832804158858</v>
      </c>
      <c r="K339">
        <v>0.28635642126552702</v>
      </c>
      <c r="L339" t="s">
        <v>31</v>
      </c>
      <c r="M339" t="s">
        <v>31</v>
      </c>
      <c r="N339" t="s">
        <v>31</v>
      </c>
      <c r="Q339" t="s">
        <v>222</v>
      </c>
      <c r="R339" s="23"/>
      <c r="S339" s="89">
        <v>1846.4130260772674</v>
      </c>
      <c r="T339" s="23" t="s">
        <v>236</v>
      </c>
      <c r="U339" s="23">
        <f>S339/0.277778</f>
        <v>6647.0815762129014</v>
      </c>
      <c r="V339" s="23" t="s">
        <v>237</v>
      </c>
      <c r="W339" s="23">
        <f>U339/38.3</f>
        <v>173.55304376534991</v>
      </c>
      <c r="X339" s="23" t="s">
        <v>238</v>
      </c>
    </row>
    <row r="340" spans="1:24">
      <c r="A340" s="29" t="s">
        <v>239</v>
      </c>
      <c r="B340" s="89">
        <v>829.57258218138895</v>
      </c>
      <c r="C340" s="89"/>
      <c r="D340" s="23" t="s">
        <v>172</v>
      </c>
      <c r="E340" s="23" t="s">
        <v>38</v>
      </c>
      <c r="F340" s="23" t="s">
        <v>29</v>
      </c>
      <c r="G340" s="23" t="s">
        <v>57</v>
      </c>
      <c r="H340" s="23" t="s">
        <v>33</v>
      </c>
      <c r="I340" s="23">
        <v>2</v>
      </c>
      <c r="J340">
        <f t="shared" si="13"/>
        <v>6.7209106069253313</v>
      </c>
      <c r="K340">
        <v>0.28635642126552702</v>
      </c>
      <c r="L340" t="s">
        <v>31</v>
      </c>
      <c r="M340" t="s">
        <v>31</v>
      </c>
      <c r="N340" t="s">
        <v>31</v>
      </c>
      <c r="Q340" t="s">
        <v>222</v>
      </c>
      <c r="R340" s="29"/>
      <c r="S340" s="89">
        <v>230.43701273318189</v>
      </c>
      <c r="T340" s="23" t="s">
        <v>236</v>
      </c>
      <c r="U340" s="23">
        <f>S340/0.277778</f>
        <v>829.57258218138895</v>
      </c>
      <c r="V340" s="23" t="s">
        <v>237</v>
      </c>
    </row>
    <row r="341" spans="1:24">
      <c r="A341" s="29" t="s">
        <v>73</v>
      </c>
      <c r="B341" s="89">
        <v>39.26124760267367</v>
      </c>
      <c r="C341" s="89"/>
      <c r="D341" s="23" t="s">
        <v>37</v>
      </c>
      <c r="E341" s="23" t="s">
        <v>38</v>
      </c>
      <c r="F341" s="23" t="s">
        <v>29</v>
      </c>
      <c r="G341" s="23" t="s">
        <v>57</v>
      </c>
      <c r="H341" s="23" t="s">
        <v>33</v>
      </c>
      <c r="I341">
        <v>2</v>
      </c>
      <c r="J341">
        <f t="shared" si="13"/>
        <v>3.6702379663024911</v>
      </c>
      <c r="K341">
        <v>0.28635642126552702</v>
      </c>
      <c r="L341" t="s">
        <v>31</v>
      </c>
      <c r="M341" t="s">
        <v>31</v>
      </c>
      <c r="N341" t="s">
        <v>31</v>
      </c>
      <c r="Q341" t="s">
        <v>222</v>
      </c>
      <c r="R341" s="29"/>
      <c r="S341" s="89">
        <v>488.58480547858181</v>
      </c>
      <c r="T341" s="23" t="s">
        <v>236</v>
      </c>
      <c r="U341" s="23">
        <f>S341/0.277778</f>
        <v>1758.9038925997802</v>
      </c>
      <c r="V341" s="23" t="s">
        <v>237</v>
      </c>
      <c r="W341" s="23">
        <f>U341/44.8</f>
        <v>39.26124760267367</v>
      </c>
      <c r="X341" s="23" t="s">
        <v>240</v>
      </c>
    </row>
    <row r="342" spans="1:24">
      <c r="A342" s="29" t="s">
        <v>36</v>
      </c>
      <c r="B342" s="89">
        <v>77.506781337019447</v>
      </c>
      <c r="C342" s="89"/>
      <c r="D342" s="23" t="s">
        <v>37</v>
      </c>
      <c r="E342" s="23" t="s">
        <v>38</v>
      </c>
      <c r="F342" s="23" t="s">
        <v>29</v>
      </c>
      <c r="G342" s="23" t="s">
        <v>130</v>
      </c>
      <c r="H342" s="23" t="s">
        <v>33</v>
      </c>
      <c r="I342" s="23">
        <v>2</v>
      </c>
      <c r="J342">
        <f t="shared" si="13"/>
        <v>4.3503654336541331</v>
      </c>
      <c r="K342">
        <v>0.28635642126552702</v>
      </c>
      <c r="L342" t="s">
        <v>31</v>
      </c>
      <c r="M342" t="s">
        <v>31</v>
      </c>
      <c r="N342" t="s">
        <v>31</v>
      </c>
      <c r="Q342" t="s">
        <v>222</v>
      </c>
      <c r="R342" s="29"/>
      <c r="S342" s="89">
        <v>994.67115622803817</v>
      </c>
      <c r="T342" s="23" t="s">
        <v>236</v>
      </c>
      <c r="U342" s="23">
        <f>S342/0.277778</f>
        <v>3580.813297770299</v>
      </c>
      <c r="V342" s="23" t="s">
        <v>237</v>
      </c>
      <c r="W342" s="23">
        <f>U342/46.2</f>
        <v>77.506781337019447</v>
      </c>
      <c r="X342" s="23" t="s">
        <v>240</v>
      </c>
    </row>
    <row r="343" spans="1:24" s="91" customFormat="1">
      <c r="A343" s="73" t="s">
        <v>56</v>
      </c>
      <c r="B343" s="89">
        <f>W343</f>
        <v>0.47731448917226071</v>
      </c>
      <c r="C343" s="89"/>
      <c r="D343" s="23" t="s">
        <v>37</v>
      </c>
      <c r="E343" t="s">
        <v>2</v>
      </c>
      <c r="F343" s="23" t="s">
        <v>206</v>
      </c>
      <c r="G343" s="23" t="s">
        <v>57</v>
      </c>
      <c r="H343" s="23" t="s">
        <v>33</v>
      </c>
      <c r="I343" s="23">
        <v>2</v>
      </c>
      <c r="J343" s="23">
        <f t="shared" si="13"/>
        <v>-0.73957969890000619</v>
      </c>
      <c r="K343" s="23">
        <v>0.28635642126552702</v>
      </c>
      <c r="L343" s="23" t="s">
        <v>31</v>
      </c>
      <c r="M343" s="23" t="s">
        <v>31</v>
      </c>
      <c r="N343" s="23" t="s">
        <v>31</v>
      </c>
      <c r="Q343" t="s">
        <v>222</v>
      </c>
      <c r="R343" s="90"/>
      <c r="S343" s="89">
        <v>5.8338484236248584</v>
      </c>
      <c r="T343" s="23" t="s">
        <v>236</v>
      </c>
      <c r="U343" s="23">
        <f>S343/0.277778</f>
        <v>21.001837523579471</v>
      </c>
      <c r="V343" s="23" t="s">
        <v>237</v>
      </c>
      <c r="W343" s="23">
        <f>U343/44</f>
        <v>0.47731448917226071</v>
      </c>
      <c r="X343" s="23" t="s">
        <v>240</v>
      </c>
    </row>
    <row r="344" spans="1:24">
      <c r="A344" t="s">
        <v>82</v>
      </c>
      <c r="B344" s="23">
        <v>4479.9941393360059</v>
      </c>
      <c r="C344" s="23"/>
      <c r="D344" s="23" t="s">
        <v>37</v>
      </c>
      <c r="E344" s="23" t="s">
        <v>38</v>
      </c>
      <c r="F344" s="23" t="s">
        <v>29</v>
      </c>
      <c r="G344" s="23" t="s">
        <v>57</v>
      </c>
      <c r="H344" s="23" t="s">
        <v>33</v>
      </c>
      <c r="I344" s="23">
        <v>2</v>
      </c>
      <c r="J344">
        <f t="shared" si="13"/>
        <v>8.4073770172242472</v>
      </c>
      <c r="K344">
        <v>0.28635642126552702</v>
      </c>
      <c r="L344" t="s">
        <v>31</v>
      </c>
      <c r="M344" t="s">
        <v>31</v>
      </c>
      <c r="N344" t="s">
        <v>31</v>
      </c>
      <c r="Q344" t="s">
        <v>222</v>
      </c>
    </row>
    <row r="345" spans="1:24">
      <c r="A345" s="88" t="s">
        <v>242</v>
      </c>
      <c r="B345">
        <v>4.1868771736060539</v>
      </c>
      <c r="D345" s="23" t="s">
        <v>48</v>
      </c>
      <c r="E345" s="23" t="s">
        <v>38</v>
      </c>
      <c r="F345" s="23" t="s">
        <v>29</v>
      </c>
      <c r="G345" s="33" t="s">
        <v>130</v>
      </c>
      <c r="H345" s="23" t="s">
        <v>33</v>
      </c>
      <c r="I345" s="23">
        <v>2</v>
      </c>
      <c r="J345">
        <f t="shared" si="13"/>
        <v>1.4319551514278475</v>
      </c>
      <c r="K345">
        <v>0.28635642126552702</v>
      </c>
      <c r="L345" t="s">
        <v>31</v>
      </c>
      <c r="M345" t="s">
        <v>31</v>
      </c>
      <c r="N345" t="s">
        <v>31</v>
      </c>
      <c r="Q345" t="s">
        <v>222</v>
      </c>
    </row>
    <row r="346" spans="1:24">
      <c r="A346" t="s">
        <v>243</v>
      </c>
      <c r="B346" s="86">
        <v>101.5964702974269</v>
      </c>
      <c r="C346" s="86"/>
      <c r="D346" t="s">
        <v>37</v>
      </c>
      <c r="E346" t="s">
        <v>38</v>
      </c>
      <c r="F346" t="s">
        <v>29</v>
      </c>
      <c r="G346" t="s">
        <v>130</v>
      </c>
      <c r="H346" t="s">
        <v>33</v>
      </c>
      <c r="I346" s="23">
        <v>2</v>
      </c>
      <c r="J346">
        <f t="shared" si="13"/>
        <v>4.6210087933738349</v>
      </c>
      <c r="K346">
        <v>0.28635642126552702</v>
      </c>
      <c r="L346" t="s">
        <v>31</v>
      </c>
      <c r="M346" t="s">
        <v>31</v>
      </c>
      <c r="N346" t="s">
        <v>31</v>
      </c>
      <c r="Q346" t="s">
        <v>222</v>
      </c>
    </row>
    <row r="347" spans="1:24">
      <c r="A347" t="s">
        <v>46</v>
      </c>
      <c r="B347" s="86">
        <v>1908.731653400534</v>
      </c>
      <c r="C347" s="86"/>
      <c r="D347" t="s">
        <v>37</v>
      </c>
      <c r="E347" t="s">
        <v>41</v>
      </c>
      <c r="F347" t="s">
        <v>42</v>
      </c>
      <c r="G347" t="s">
        <v>29</v>
      </c>
      <c r="H347" t="s">
        <v>43</v>
      </c>
      <c r="I347" s="23">
        <v>2</v>
      </c>
      <c r="J347">
        <f t="shared" si="13"/>
        <v>7.5541942446467187</v>
      </c>
      <c r="K347">
        <v>0.28635642126552702</v>
      </c>
      <c r="L347" t="s">
        <v>31</v>
      </c>
      <c r="M347" t="s">
        <v>31</v>
      </c>
      <c r="N347" t="s">
        <v>31</v>
      </c>
      <c r="Q347" t="s">
        <v>222</v>
      </c>
    </row>
    <row r="348" spans="1:24">
      <c r="A348" t="s">
        <v>49</v>
      </c>
      <c r="B348" s="86">
        <v>2.0418469482687007E-2</v>
      </c>
      <c r="C348" s="86"/>
      <c r="D348" t="s">
        <v>37</v>
      </c>
      <c r="E348" t="s">
        <v>41</v>
      </c>
      <c r="F348" t="s">
        <v>42</v>
      </c>
      <c r="G348" t="s">
        <v>29</v>
      </c>
      <c r="H348" t="s">
        <v>43</v>
      </c>
      <c r="I348" s="23">
        <v>2</v>
      </c>
      <c r="J348">
        <f t="shared" si="13"/>
        <v>-3.8913154209308982</v>
      </c>
      <c r="K348">
        <v>0.28635642126552702</v>
      </c>
      <c r="L348" t="s">
        <v>31</v>
      </c>
      <c r="M348" t="s">
        <v>31</v>
      </c>
      <c r="N348" t="s">
        <v>31</v>
      </c>
      <c r="Q348" t="s">
        <v>222</v>
      </c>
    </row>
    <row r="349" spans="1:24">
      <c r="A349" t="s">
        <v>40</v>
      </c>
      <c r="B349">
        <v>0.32377858751117961</v>
      </c>
      <c r="D349" t="s">
        <v>37</v>
      </c>
      <c r="E349" t="s">
        <v>41</v>
      </c>
      <c r="F349" t="s">
        <v>42</v>
      </c>
      <c r="G349" t="s">
        <v>29</v>
      </c>
      <c r="H349" t="s">
        <v>43</v>
      </c>
      <c r="I349">
        <v>2</v>
      </c>
      <c r="J349">
        <f>LN(B349)</f>
        <v>-1.1276953686738775</v>
      </c>
      <c r="K349">
        <v>0.28635642126552702</v>
      </c>
      <c r="L349" t="s">
        <v>31</v>
      </c>
      <c r="M349" t="s">
        <v>31</v>
      </c>
      <c r="N349" t="s">
        <v>31</v>
      </c>
      <c r="Q349" t="s">
        <v>222</v>
      </c>
    </row>
    <row r="350" spans="1:24">
      <c r="A350" t="s">
        <v>245</v>
      </c>
      <c r="B350">
        <v>1.5328436733074313</v>
      </c>
      <c r="D350" t="s">
        <v>37</v>
      </c>
      <c r="E350" t="s">
        <v>41</v>
      </c>
      <c r="F350" t="s">
        <v>42</v>
      </c>
      <c r="G350" t="s">
        <v>29</v>
      </c>
      <c r="H350" t="s">
        <v>43</v>
      </c>
      <c r="I350">
        <v>2</v>
      </c>
      <c r="J350">
        <f t="shared" ref="J350" si="14">LN(B350)</f>
        <v>0.42712462033079401</v>
      </c>
      <c r="K350">
        <v>0.28635642126552702</v>
      </c>
      <c r="L350" t="s">
        <v>31</v>
      </c>
      <c r="M350" t="s">
        <v>31</v>
      </c>
      <c r="N350" t="s">
        <v>31</v>
      </c>
      <c r="Q350" t="s">
        <v>222</v>
      </c>
    </row>
    <row r="351" spans="1:24" s="28" customFormat="1">
      <c r="A351" s="82" t="s">
        <v>5</v>
      </c>
      <c r="B351" s="82" t="s">
        <v>322</v>
      </c>
      <c r="C351" s="82"/>
      <c r="D351" s="26"/>
      <c r="Q351" s="28" t="s">
        <v>222</v>
      </c>
      <c r="S351" s="83"/>
      <c r="T351" s="83"/>
      <c r="U351" s="83"/>
      <c r="V351" s="83"/>
      <c r="W351" s="83"/>
      <c r="X351" s="83"/>
    </row>
    <row r="352" spans="1:24">
      <c r="A352" t="s">
        <v>7</v>
      </c>
      <c r="B352" t="s">
        <v>223</v>
      </c>
      <c r="Q352" t="s">
        <v>222</v>
      </c>
    </row>
    <row r="353" spans="1:17">
      <c r="A353" t="s">
        <v>9</v>
      </c>
      <c r="B353" s="84" t="s">
        <v>357</v>
      </c>
      <c r="C353" s="23"/>
      <c r="Q353" t="s">
        <v>222</v>
      </c>
    </row>
    <row r="354" spans="1:17">
      <c r="A354" t="s">
        <v>11</v>
      </c>
      <c r="B354" t="s">
        <v>358</v>
      </c>
      <c r="Q354" t="s">
        <v>222</v>
      </c>
    </row>
    <row r="355" spans="1:17">
      <c r="A355" t="s">
        <v>13</v>
      </c>
      <c r="B355" t="s">
        <v>57</v>
      </c>
      <c r="Q355" t="s">
        <v>222</v>
      </c>
    </row>
    <row r="356" spans="1:17">
      <c r="A356" t="s">
        <v>15</v>
      </c>
      <c r="B356">
        <v>1</v>
      </c>
      <c r="Q356" t="s">
        <v>222</v>
      </c>
    </row>
    <row r="357" spans="1:17">
      <c r="A357" t="s">
        <v>16</v>
      </c>
      <c r="B357" t="s">
        <v>17</v>
      </c>
      <c r="Q357" t="s">
        <v>222</v>
      </c>
    </row>
    <row r="358" spans="1:17">
      <c r="A358" t="s">
        <v>18</v>
      </c>
      <c r="B358" t="s">
        <v>18</v>
      </c>
      <c r="E358" t="s">
        <v>226</v>
      </c>
      <c r="Q358" t="s">
        <v>222</v>
      </c>
    </row>
    <row r="359" spans="1:17">
      <c r="A359" s="76" t="s">
        <v>19</v>
      </c>
      <c r="Q359" t="s">
        <v>222</v>
      </c>
    </row>
    <row r="360" spans="1:17">
      <c r="A360" s="76" t="s">
        <v>20</v>
      </c>
      <c r="B360" s="76" t="s">
        <v>21</v>
      </c>
      <c r="C360" s="76" t="s">
        <v>209</v>
      </c>
      <c r="D360" s="76" t="s">
        <v>18</v>
      </c>
      <c r="E360" s="76" t="s">
        <v>22</v>
      </c>
      <c r="F360" s="76" t="s">
        <v>7</v>
      </c>
      <c r="G360" s="76" t="s">
        <v>13</v>
      </c>
      <c r="H360" s="76" t="s">
        <v>16</v>
      </c>
      <c r="I360" s="76" t="s">
        <v>23</v>
      </c>
      <c r="J360" s="76" t="s">
        <v>24</v>
      </c>
      <c r="K360" s="76" t="s">
        <v>25</v>
      </c>
      <c r="L360" s="76" t="s">
        <v>26</v>
      </c>
      <c r="M360" s="76" t="s">
        <v>27</v>
      </c>
      <c r="N360" s="76" t="s">
        <v>28</v>
      </c>
      <c r="O360" s="76" t="s">
        <v>11</v>
      </c>
      <c r="P360" s="85" t="s">
        <v>227</v>
      </c>
      <c r="Q360" t="s">
        <v>222</v>
      </c>
    </row>
    <row r="361" spans="1:17">
      <c r="A361" s="45" t="s">
        <v>322</v>
      </c>
      <c r="B361">
        <v>1</v>
      </c>
      <c r="D361" t="s">
        <v>18</v>
      </c>
      <c r="E361" t="s">
        <v>2</v>
      </c>
      <c r="F361" t="s">
        <v>29</v>
      </c>
      <c r="G361" t="s">
        <v>57</v>
      </c>
      <c r="H361" t="s">
        <v>30</v>
      </c>
      <c r="I361">
        <v>1</v>
      </c>
      <c r="J361">
        <v>1</v>
      </c>
      <c r="K361" t="s">
        <v>31</v>
      </c>
      <c r="L361" t="s">
        <v>31</v>
      </c>
      <c r="M361" t="s">
        <v>31</v>
      </c>
      <c r="N361" t="s">
        <v>31</v>
      </c>
      <c r="Q361" t="s">
        <v>222</v>
      </c>
    </row>
    <row r="362" spans="1:17">
      <c r="A362" s="137" t="s">
        <v>359</v>
      </c>
      <c r="B362" s="81">
        <v>43.012499999999996</v>
      </c>
      <c r="C362" s="81"/>
      <c r="D362" s="81" t="s">
        <v>37</v>
      </c>
      <c r="E362" s="81" t="s">
        <v>38</v>
      </c>
      <c r="F362" s="81" t="s">
        <v>29</v>
      </c>
      <c r="G362" s="81" t="s">
        <v>57</v>
      </c>
      <c r="H362" s="81" t="s">
        <v>33</v>
      </c>
      <c r="I362" s="81">
        <v>2</v>
      </c>
      <c r="J362" s="81">
        <f t="shared" ref="J362:J386" si="15">LN(B362)</f>
        <v>3.7614907711235985</v>
      </c>
      <c r="K362" s="81">
        <v>0.30331501776206199</v>
      </c>
      <c r="L362" s="81" t="s">
        <v>31</v>
      </c>
      <c r="M362" s="81" t="s">
        <v>31</v>
      </c>
      <c r="N362" s="81" t="s">
        <v>31</v>
      </c>
      <c r="O362" s="81" t="s">
        <v>253</v>
      </c>
      <c r="P362" s="23" t="s">
        <v>360</v>
      </c>
      <c r="Q362" t="s">
        <v>222</v>
      </c>
    </row>
    <row r="363" spans="1:17">
      <c r="A363" s="137" t="s">
        <v>299</v>
      </c>
      <c r="B363" s="81">
        <v>43.012499999999996</v>
      </c>
      <c r="C363" s="81"/>
      <c r="D363" s="81" t="s">
        <v>37</v>
      </c>
      <c r="E363" s="81" t="s">
        <v>38</v>
      </c>
      <c r="F363" s="81" t="s">
        <v>29</v>
      </c>
      <c r="G363" s="81" t="s">
        <v>57</v>
      </c>
      <c r="H363" s="81" t="s">
        <v>33</v>
      </c>
      <c r="I363" s="80">
        <v>2</v>
      </c>
      <c r="J363" s="81">
        <f t="shared" si="15"/>
        <v>3.7614907711235985</v>
      </c>
      <c r="K363" s="81">
        <v>0.30331501776206199</v>
      </c>
      <c r="L363" s="81" t="s">
        <v>31</v>
      </c>
      <c r="M363" s="81" t="s">
        <v>31</v>
      </c>
      <c r="N363" s="81" t="s">
        <v>31</v>
      </c>
      <c r="O363" s="81" t="s">
        <v>253</v>
      </c>
      <c r="P363" s="23" t="s">
        <v>361</v>
      </c>
      <c r="Q363" t="s">
        <v>222</v>
      </c>
    </row>
    <row r="364" spans="1:17">
      <c r="A364" s="93" t="s">
        <v>362</v>
      </c>
      <c r="B364" s="81">
        <v>43.012499999999996</v>
      </c>
      <c r="C364" s="81"/>
      <c r="D364" s="81" t="s">
        <v>37</v>
      </c>
      <c r="E364" s="81" t="s">
        <v>38</v>
      </c>
      <c r="F364" s="81" t="s">
        <v>29</v>
      </c>
      <c r="G364" s="81" t="s">
        <v>57</v>
      </c>
      <c r="H364" s="81" t="s">
        <v>33</v>
      </c>
      <c r="I364" s="80">
        <v>2</v>
      </c>
      <c r="J364" s="81">
        <f t="shared" si="15"/>
        <v>3.7614907711235985</v>
      </c>
      <c r="K364" s="81">
        <v>0.30331501776206199</v>
      </c>
      <c r="L364" s="81" t="s">
        <v>31</v>
      </c>
      <c r="M364" s="81" t="s">
        <v>31</v>
      </c>
      <c r="N364" s="81" t="s">
        <v>31</v>
      </c>
      <c r="O364" s="81" t="s">
        <v>253</v>
      </c>
      <c r="P364" s="23" t="s">
        <v>363</v>
      </c>
      <c r="Q364" t="s">
        <v>222</v>
      </c>
    </row>
    <row r="365" spans="1:17">
      <c r="A365" s="93" t="s">
        <v>362</v>
      </c>
      <c r="B365" s="81">
        <v>12.905999999999999</v>
      </c>
      <c r="C365" s="81"/>
      <c r="D365" s="81" t="s">
        <v>37</v>
      </c>
      <c r="E365" s="81" t="s">
        <v>38</v>
      </c>
      <c r="F365" s="81" t="s">
        <v>29</v>
      </c>
      <c r="G365" s="81" t="s">
        <v>57</v>
      </c>
      <c r="H365" s="81" t="s">
        <v>33</v>
      </c>
      <c r="I365" s="80">
        <v>2</v>
      </c>
      <c r="J365" s="81">
        <f t="shared" si="15"/>
        <v>2.5576923195136478</v>
      </c>
      <c r="K365" s="81">
        <v>0.30331501776206199</v>
      </c>
      <c r="L365" s="81" t="s">
        <v>31</v>
      </c>
      <c r="M365" s="81" t="s">
        <v>31</v>
      </c>
      <c r="N365" s="81" t="s">
        <v>31</v>
      </c>
      <c r="O365" s="81" t="s">
        <v>253</v>
      </c>
      <c r="P365" s="23" t="s">
        <v>364</v>
      </c>
      <c r="Q365" t="s">
        <v>222</v>
      </c>
    </row>
    <row r="366" spans="1:17">
      <c r="A366" s="93" t="s">
        <v>365</v>
      </c>
      <c r="B366" s="81">
        <v>30.113999999999994</v>
      </c>
      <c r="C366" s="81"/>
      <c r="D366" s="81" t="s">
        <v>37</v>
      </c>
      <c r="E366" s="81" t="s">
        <v>38</v>
      </c>
      <c r="F366" s="81" t="s">
        <v>29</v>
      </c>
      <c r="G366" s="81" t="s">
        <v>57</v>
      </c>
      <c r="H366" s="81" t="s">
        <v>33</v>
      </c>
      <c r="I366" s="80">
        <v>2</v>
      </c>
      <c r="J366" s="81">
        <f t="shared" si="15"/>
        <v>3.4049901799008513</v>
      </c>
      <c r="K366" s="81">
        <v>0.30331501776206199</v>
      </c>
      <c r="L366" s="81" t="s">
        <v>31</v>
      </c>
      <c r="M366" s="81" t="s">
        <v>31</v>
      </c>
      <c r="N366" s="81" t="s">
        <v>31</v>
      </c>
      <c r="O366" s="81" t="s">
        <v>253</v>
      </c>
      <c r="P366" s="23" t="s">
        <v>366</v>
      </c>
      <c r="Q366" t="s">
        <v>222</v>
      </c>
    </row>
    <row r="367" spans="1:17">
      <c r="A367" s="93" t="s">
        <v>258</v>
      </c>
      <c r="B367" s="81">
        <v>43.012499999999996</v>
      </c>
      <c r="C367" s="81"/>
      <c r="D367" s="81" t="s">
        <v>37</v>
      </c>
      <c r="E367" s="81" t="s">
        <v>38</v>
      </c>
      <c r="F367" s="81" t="s">
        <v>29</v>
      </c>
      <c r="G367" s="81" t="s">
        <v>57</v>
      </c>
      <c r="H367" s="81" t="s">
        <v>33</v>
      </c>
      <c r="I367" s="80">
        <v>2</v>
      </c>
      <c r="J367" s="81">
        <f t="shared" si="15"/>
        <v>3.7614907711235985</v>
      </c>
      <c r="K367" s="81">
        <v>0.30331501776206199</v>
      </c>
      <c r="L367" s="81" t="s">
        <v>31</v>
      </c>
      <c r="M367" s="81" t="s">
        <v>31</v>
      </c>
      <c r="N367" s="81" t="s">
        <v>31</v>
      </c>
      <c r="O367" s="81" t="s">
        <v>253</v>
      </c>
      <c r="P367" s="23" t="s">
        <v>367</v>
      </c>
      <c r="Q367" t="s">
        <v>222</v>
      </c>
    </row>
    <row r="368" spans="1:17">
      <c r="A368" s="93" t="s">
        <v>350</v>
      </c>
      <c r="B368" s="81">
        <v>43.012499999999996</v>
      </c>
      <c r="C368" s="81"/>
      <c r="D368" s="81" t="s">
        <v>37</v>
      </c>
      <c r="E368" s="81" t="s">
        <v>38</v>
      </c>
      <c r="F368" s="81" t="s">
        <v>29</v>
      </c>
      <c r="G368" s="81" t="s">
        <v>57</v>
      </c>
      <c r="H368" s="81" t="s">
        <v>33</v>
      </c>
      <c r="I368" s="80">
        <v>2</v>
      </c>
      <c r="J368" s="81">
        <f t="shared" si="15"/>
        <v>3.7614907711235985</v>
      </c>
      <c r="K368" s="81">
        <v>0.30331501776206199</v>
      </c>
      <c r="L368" s="81" t="s">
        <v>31</v>
      </c>
      <c r="M368" s="81" t="s">
        <v>31</v>
      </c>
      <c r="N368" s="81" t="s">
        <v>31</v>
      </c>
      <c r="O368" s="81" t="s">
        <v>253</v>
      </c>
      <c r="P368" s="23" t="s">
        <v>368</v>
      </c>
      <c r="Q368" t="s">
        <v>222</v>
      </c>
    </row>
    <row r="369" spans="1:19">
      <c r="A369" s="95" t="s">
        <v>263</v>
      </c>
      <c r="B369" s="97">
        <v>40.145000000000003</v>
      </c>
      <c r="C369" s="97"/>
      <c r="D369" s="97" t="s">
        <v>37</v>
      </c>
      <c r="E369" s="97" t="s">
        <v>38</v>
      </c>
      <c r="F369" s="97" t="s">
        <v>29</v>
      </c>
      <c r="G369" s="97" t="s">
        <v>130</v>
      </c>
      <c r="H369" s="97" t="s">
        <v>33</v>
      </c>
      <c r="I369" s="109">
        <v>2</v>
      </c>
      <c r="J369" s="97">
        <f t="shared" si="15"/>
        <v>3.6924978996366473</v>
      </c>
      <c r="K369" s="97">
        <v>0.30331501776206199</v>
      </c>
      <c r="L369" s="97" t="s">
        <v>31</v>
      </c>
      <c r="M369" s="97" t="s">
        <v>31</v>
      </c>
      <c r="N369" s="97" t="s">
        <v>31</v>
      </c>
      <c r="O369" s="97" t="s">
        <v>264</v>
      </c>
      <c r="P369" s="98" t="s">
        <v>369</v>
      </c>
      <c r="Q369" t="s">
        <v>222</v>
      </c>
    </row>
    <row r="370" spans="1:19">
      <c r="A370" s="99" t="s">
        <v>266</v>
      </c>
      <c r="B370" s="79">
        <v>40.145000000000003</v>
      </c>
      <c r="C370" s="29" t="s">
        <v>267</v>
      </c>
      <c r="D370" s="79" t="s">
        <v>37</v>
      </c>
      <c r="E370" s="79" t="s">
        <v>38</v>
      </c>
      <c r="F370" s="79" t="s">
        <v>29</v>
      </c>
      <c r="G370" s="79" t="s">
        <v>130</v>
      </c>
      <c r="H370" s="79" t="s">
        <v>33</v>
      </c>
      <c r="I370" s="78">
        <v>2</v>
      </c>
      <c r="J370" s="79">
        <f t="shared" si="15"/>
        <v>3.6924978996366473</v>
      </c>
      <c r="K370" s="79">
        <v>0.30331501776206199</v>
      </c>
      <c r="L370" s="79" t="s">
        <v>31</v>
      </c>
      <c r="M370" s="79" t="s">
        <v>31</v>
      </c>
      <c r="N370" s="79" t="s">
        <v>31</v>
      </c>
      <c r="O370" s="79" t="s">
        <v>264</v>
      </c>
      <c r="P370" s="102" t="s">
        <v>369</v>
      </c>
      <c r="Q370" t="s">
        <v>222</v>
      </c>
    </row>
    <row r="371" spans="1:19">
      <c r="A371" s="103" t="s">
        <v>359</v>
      </c>
      <c r="B371" s="105">
        <v>40.145000000000003</v>
      </c>
      <c r="C371" s="105"/>
      <c r="D371" s="105" t="s">
        <v>37</v>
      </c>
      <c r="E371" s="105" t="s">
        <v>38</v>
      </c>
      <c r="F371" s="105" t="s">
        <v>29</v>
      </c>
      <c r="G371" s="105" t="s">
        <v>57</v>
      </c>
      <c r="H371" s="105" t="s">
        <v>269</v>
      </c>
      <c r="I371" s="114">
        <v>2</v>
      </c>
      <c r="J371" s="105">
        <f t="shared" si="15"/>
        <v>3.6924978996366473</v>
      </c>
      <c r="K371" s="105">
        <v>0.30331501776206199</v>
      </c>
      <c r="L371" s="105" t="s">
        <v>31</v>
      </c>
      <c r="M371" s="105" t="s">
        <v>31</v>
      </c>
      <c r="N371" s="105" t="s">
        <v>31</v>
      </c>
      <c r="O371" s="105" t="s">
        <v>264</v>
      </c>
      <c r="P371" s="106" t="s">
        <v>370</v>
      </c>
      <c r="Q371" t="s">
        <v>222</v>
      </c>
    </row>
    <row r="372" spans="1:19">
      <c r="A372" s="107" t="s">
        <v>302</v>
      </c>
      <c r="B372" s="97">
        <v>40.145000000000003</v>
      </c>
      <c r="C372" s="97"/>
      <c r="D372" s="97" t="s">
        <v>37</v>
      </c>
      <c r="E372" s="97" t="s">
        <v>38</v>
      </c>
      <c r="F372" s="97" t="s">
        <v>29</v>
      </c>
      <c r="G372" s="97" t="s">
        <v>130</v>
      </c>
      <c r="H372" s="97" t="s">
        <v>33</v>
      </c>
      <c r="I372" s="109">
        <v>2</v>
      </c>
      <c r="J372" s="97">
        <f t="shared" si="15"/>
        <v>3.6924978996366473</v>
      </c>
      <c r="K372" s="97">
        <v>0.30331501776206199</v>
      </c>
      <c r="L372" s="97" t="s">
        <v>31</v>
      </c>
      <c r="M372" s="97" t="s">
        <v>31</v>
      </c>
      <c r="N372" s="97" t="s">
        <v>31</v>
      </c>
      <c r="O372" s="97" t="s">
        <v>264</v>
      </c>
      <c r="P372" s="98" t="s">
        <v>371</v>
      </c>
      <c r="Q372" t="s">
        <v>222</v>
      </c>
    </row>
    <row r="373" spans="1:19">
      <c r="A373" s="112" t="s">
        <v>299</v>
      </c>
      <c r="B373" s="105">
        <v>40.145000000000003</v>
      </c>
      <c r="C373" s="105"/>
      <c r="D373" s="105" t="s">
        <v>37</v>
      </c>
      <c r="E373" s="105" t="s">
        <v>38</v>
      </c>
      <c r="F373" s="105" t="s">
        <v>29</v>
      </c>
      <c r="G373" s="105" t="s">
        <v>57</v>
      </c>
      <c r="H373" s="105" t="s">
        <v>269</v>
      </c>
      <c r="I373" s="114">
        <v>2</v>
      </c>
      <c r="J373" s="105">
        <f t="shared" si="15"/>
        <v>3.6924978996366473</v>
      </c>
      <c r="K373" s="105">
        <v>0.30331501776206199</v>
      </c>
      <c r="L373" s="105" t="s">
        <v>31</v>
      </c>
      <c r="M373" s="105" t="s">
        <v>31</v>
      </c>
      <c r="N373" s="105" t="s">
        <v>31</v>
      </c>
      <c r="O373" s="105" t="s">
        <v>264</v>
      </c>
      <c r="P373" s="106" t="s">
        <v>372</v>
      </c>
      <c r="Q373" t="s">
        <v>222</v>
      </c>
    </row>
    <row r="374" spans="1:19">
      <c r="A374" s="107" t="s">
        <v>278</v>
      </c>
      <c r="B374" s="97">
        <v>40.145000000000003</v>
      </c>
      <c r="C374" s="35" t="s">
        <v>279</v>
      </c>
      <c r="D374" s="97" t="s">
        <v>37</v>
      </c>
      <c r="E374" s="97" t="s">
        <v>38</v>
      </c>
      <c r="F374" s="97" t="s">
        <v>29</v>
      </c>
      <c r="G374" s="97" t="s">
        <v>130</v>
      </c>
      <c r="H374" s="97" t="s">
        <v>33</v>
      </c>
      <c r="I374" s="109">
        <v>2</v>
      </c>
      <c r="J374" s="97">
        <f t="shared" si="15"/>
        <v>3.6924978996366473</v>
      </c>
      <c r="K374" s="97">
        <v>0.30331501776206199</v>
      </c>
      <c r="L374" s="97" t="s">
        <v>31</v>
      </c>
      <c r="M374" s="97" t="s">
        <v>31</v>
      </c>
      <c r="N374" s="97" t="s">
        <v>31</v>
      </c>
      <c r="O374" s="97" t="s">
        <v>264</v>
      </c>
      <c r="P374" s="98" t="s">
        <v>373</v>
      </c>
      <c r="Q374" t="s">
        <v>222</v>
      </c>
    </row>
    <row r="375" spans="1:19">
      <c r="A375" s="112" t="s">
        <v>362</v>
      </c>
      <c r="B375" s="105">
        <v>40.145000000000003</v>
      </c>
      <c r="C375" s="105"/>
      <c r="D375" s="105" t="s">
        <v>37</v>
      </c>
      <c r="E375" s="105" t="s">
        <v>38</v>
      </c>
      <c r="F375" s="105" t="s">
        <v>29</v>
      </c>
      <c r="G375" s="105" t="s">
        <v>57</v>
      </c>
      <c r="H375" s="105" t="s">
        <v>269</v>
      </c>
      <c r="I375" s="114">
        <v>2</v>
      </c>
      <c r="J375" s="105">
        <f t="shared" si="15"/>
        <v>3.6924978996366473</v>
      </c>
      <c r="K375" s="105">
        <v>0.30331501776206199</v>
      </c>
      <c r="L375" s="105" t="s">
        <v>31</v>
      </c>
      <c r="M375" s="105" t="s">
        <v>31</v>
      </c>
      <c r="N375" s="105" t="s">
        <v>31</v>
      </c>
      <c r="O375" s="105" t="s">
        <v>264</v>
      </c>
      <c r="P375" s="106" t="s">
        <v>374</v>
      </c>
      <c r="Q375" t="s">
        <v>222</v>
      </c>
    </row>
    <row r="376" spans="1:19">
      <c r="A376" s="107" t="s">
        <v>278</v>
      </c>
      <c r="B376" s="97">
        <v>12.0456</v>
      </c>
      <c r="C376" s="35" t="s">
        <v>279</v>
      </c>
      <c r="D376" s="97" t="s">
        <v>37</v>
      </c>
      <c r="E376" s="97" t="s">
        <v>38</v>
      </c>
      <c r="F376" s="97" t="s">
        <v>29</v>
      </c>
      <c r="G376" s="97" t="s">
        <v>130</v>
      </c>
      <c r="H376" s="97" t="s">
        <v>33</v>
      </c>
      <c r="I376" s="109">
        <v>2</v>
      </c>
      <c r="J376" s="97">
        <f t="shared" si="15"/>
        <v>2.4886994480266966</v>
      </c>
      <c r="K376" s="97">
        <v>0.30331501776206199</v>
      </c>
      <c r="L376" s="97" t="s">
        <v>31</v>
      </c>
      <c r="M376" s="97" t="s">
        <v>31</v>
      </c>
      <c r="N376" s="97" t="s">
        <v>31</v>
      </c>
      <c r="O376" s="97" t="s">
        <v>264</v>
      </c>
      <c r="P376" s="98" t="s">
        <v>375</v>
      </c>
      <c r="Q376" t="s">
        <v>222</v>
      </c>
    </row>
    <row r="377" spans="1:19">
      <c r="A377" s="112" t="s">
        <v>362</v>
      </c>
      <c r="B377" s="105">
        <v>12.0456</v>
      </c>
      <c r="C377" s="105"/>
      <c r="D377" s="105" t="s">
        <v>37</v>
      </c>
      <c r="E377" s="105" t="s">
        <v>38</v>
      </c>
      <c r="F377" s="105" t="s">
        <v>29</v>
      </c>
      <c r="G377" s="105" t="s">
        <v>57</v>
      </c>
      <c r="H377" s="105" t="s">
        <v>269</v>
      </c>
      <c r="I377" s="114">
        <v>2</v>
      </c>
      <c r="J377" s="105">
        <f t="shared" si="15"/>
        <v>2.4886994480266966</v>
      </c>
      <c r="K377" s="105">
        <v>0.30331501776206199</v>
      </c>
      <c r="L377" s="105" t="s">
        <v>31</v>
      </c>
      <c r="M377" s="105" t="s">
        <v>31</v>
      </c>
      <c r="N377" s="105" t="s">
        <v>31</v>
      </c>
      <c r="O377" s="105" t="s">
        <v>264</v>
      </c>
      <c r="P377" s="106" t="s">
        <v>376</v>
      </c>
      <c r="Q377" t="s">
        <v>222</v>
      </c>
    </row>
    <row r="378" spans="1:19">
      <c r="A378" s="107" t="s">
        <v>278</v>
      </c>
      <c r="B378" s="97">
        <v>28.106400000000001</v>
      </c>
      <c r="C378" s="35" t="s">
        <v>279</v>
      </c>
      <c r="D378" s="97" t="s">
        <v>37</v>
      </c>
      <c r="E378" s="97" t="s">
        <v>38</v>
      </c>
      <c r="F378" s="97" t="s">
        <v>29</v>
      </c>
      <c r="G378" s="97" t="s">
        <v>130</v>
      </c>
      <c r="H378" s="97" t="s">
        <v>33</v>
      </c>
      <c r="I378" s="109">
        <v>2</v>
      </c>
      <c r="J378" s="97">
        <f t="shared" si="15"/>
        <v>3.3359973084139001</v>
      </c>
      <c r="K378" s="97">
        <v>0.30331501776206199</v>
      </c>
      <c r="L378" s="97" t="s">
        <v>31</v>
      </c>
      <c r="M378" s="97" t="s">
        <v>31</v>
      </c>
      <c r="N378" s="97" t="s">
        <v>31</v>
      </c>
      <c r="O378" s="97" t="s">
        <v>264</v>
      </c>
      <c r="P378" s="98" t="s">
        <v>377</v>
      </c>
      <c r="Q378" t="s">
        <v>222</v>
      </c>
    </row>
    <row r="379" spans="1:19">
      <c r="A379" s="112" t="s">
        <v>365</v>
      </c>
      <c r="B379" s="105">
        <v>28.106400000000001</v>
      </c>
      <c r="C379" s="105"/>
      <c r="D379" s="105" t="s">
        <v>37</v>
      </c>
      <c r="E379" s="105" t="s">
        <v>38</v>
      </c>
      <c r="F379" s="105" t="s">
        <v>29</v>
      </c>
      <c r="G379" s="105" t="s">
        <v>57</v>
      </c>
      <c r="H379" s="105" t="s">
        <v>269</v>
      </c>
      <c r="I379" s="114">
        <v>2</v>
      </c>
      <c r="J379" s="105">
        <f t="shared" si="15"/>
        <v>3.3359973084139001</v>
      </c>
      <c r="K379" s="105">
        <v>0.30331501776206199</v>
      </c>
      <c r="L379" s="105" t="s">
        <v>31</v>
      </c>
      <c r="M379" s="105" t="s">
        <v>31</v>
      </c>
      <c r="N379" s="105" t="s">
        <v>31</v>
      </c>
      <c r="O379" s="105" t="s">
        <v>264</v>
      </c>
      <c r="P379" s="106" t="s">
        <v>378</v>
      </c>
      <c r="Q379" t="s">
        <v>222</v>
      </c>
    </row>
    <row r="380" spans="1:19">
      <c r="A380" s="95" t="s">
        <v>278</v>
      </c>
      <c r="B380" s="97">
        <v>40.145000000000003</v>
      </c>
      <c r="C380" s="35" t="s">
        <v>279</v>
      </c>
      <c r="D380" s="97" t="s">
        <v>37</v>
      </c>
      <c r="E380" s="97" t="s">
        <v>38</v>
      </c>
      <c r="F380" s="97" t="s">
        <v>29</v>
      </c>
      <c r="G380" s="97" t="s">
        <v>130</v>
      </c>
      <c r="H380" s="97" t="s">
        <v>33</v>
      </c>
      <c r="I380" s="109">
        <v>2</v>
      </c>
      <c r="J380" s="97">
        <f t="shared" si="15"/>
        <v>3.6924978996366473</v>
      </c>
      <c r="K380" s="97">
        <v>0.30331501776206199</v>
      </c>
      <c r="L380" s="97" t="s">
        <v>31</v>
      </c>
      <c r="M380" s="97" t="s">
        <v>31</v>
      </c>
      <c r="N380" s="97" t="s">
        <v>31</v>
      </c>
      <c r="O380" s="97" t="s">
        <v>264</v>
      </c>
      <c r="P380" s="98" t="s">
        <v>379</v>
      </c>
      <c r="Q380" t="s">
        <v>222</v>
      </c>
    </row>
    <row r="381" spans="1:19">
      <c r="A381" s="112" t="s">
        <v>258</v>
      </c>
      <c r="B381" s="105">
        <v>40.145000000000003</v>
      </c>
      <c r="C381" s="105"/>
      <c r="D381" s="105" t="s">
        <v>37</v>
      </c>
      <c r="E381" s="105" t="s">
        <v>38</v>
      </c>
      <c r="F381" s="105" t="s">
        <v>29</v>
      </c>
      <c r="G381" s="105" t="s">
        <v>57</v>
      </c>
      <c r="H381" s="105" t="s">
        <v>269</v>
      </c>
      <c r="I381" s="114">
        <v>2</v>
      </c>
      <c r="J381" s="105">
        <f t="shared" si="15"/>
        <v>3.6924978996366473</v>
      </c>
      <c r="K381" s="105">
        <v>0.30331501776206199</v>
      </c>
      <c r="L381" s="105" t="s">
        <v>31</v>
      </c>
      <c r="M381" s="105" t="s">
        <v>31</v>
      </c>
      <c r="N381" s="105" t="s">
        <v>31</v>
      </c>
      <c r="O381" s="105" t="s">
        <v>264</v>
      </c>
      <c r="P381" s="106" t="s">
        <v>380</v>
      </c>
      <c r="Q381" t="s">
        <v>222</v>
      </c>
    </row>
    <row r="382" spans="1:19">
      <c r="A382" s="117" t="s">
        <v>302</v>
      </c>
      <c r="B382" s="79">
        <v>40.145000000000003</v>
      </c>
      <c r="C382" s="79"/>
      <c r="D382" s="79" t="s">
        <v>37</v>
      </c>
      <c r="E382" s="79" t="s">
        <v>38</v>
      </c>
      <c r="F382" s="79" t="s">
        <v>29</v>
      </c>
      <c r="G382" s="79" t="s">
        <v>130</v>
      </c>
      <c r="H382" s="79" t="s">
        <v>33</v>
      </c>
      <c r="I382" s="78">
        <v>2</v>
      </c>
      <c r="J382" s="79">
        <f t="shared" si="15"/>
        <v>3.6924978996366473</v>
      </c>
      <c r="K382" s="79">
        <v>0.30331501776206199</v>
      </c>
      <c r="L382" s="79" t="s">
        <v>31</v>
      </c>
      <c r="M382" s="79" t="s">
        <v>31</v>
      </c>
      <c r="N382" s="79" t="s">
        <v>31</v>
      </c>
      <c r="O382" s="79" t="s">
        <v>264</v>
      </c>
      <c r="P382" s="23" t="s">
        <v>381</v>
      </c>
      <c r="Q382" t="s">
        <v>222</v>
      </c>
    </row>
    <row r="383" spans="1:19">
      <c r="A383" s="117" t="s">
        <v>350</v>
      </c>
      <c r="B383" s="79">
        <v>40.145000000000003</v>
      </c>
      <c r="C383" s="79"/>
      <c r="D383" s="79" t="s">
        <v>37</v>
      </c>
      <c r="E383" s="79" t="s">
        <v>38</v>
      </c>
      <c r="F383" s="79" t="s">
        <v>29</v>
      </c>
      <c r="G383" s="79" t="s">
        <v>57</v>
      </c>
      <c r="H383" s="79" t="s">
        <v>269</v>
      </c>
      <c r="I383" s="78">
        <v>2</v>
      </c>
      <c r="J383" s="79">
        <f t="shared" si="15"/>
        <v>3.6924978996366473</v>
      </c>
      <c r="K383" s="79">
        <v>0.30331501776206199</v>
      </c>
      <c r="L383" s="79" t="s">
        <v>31</v>
      </c>
      <c r="M383" s="79" t="s">
        <v>31</v>
      </c>
      <c r="N383" s="79" t="s">
        <v>31</v>
      </c>
      <c r="O383" s="79" t="s">
        <v>264</v>
      </c>
      <c r="P383" s="23" t="s">
        <v>382</v>
      </c>
      <c r="Q383" t="s">
        <v>222</v>
      </c>
      <c r="S383" s="85" t="s">
        <v>233</v>
      </c>
    </row>
    <row r="384" spans="1:19">
      <c r="A384" t="s">
        <v>77</v>
      </c>
      <c r="B384" s="86">
        <v>688.57642175097146</v>
      </c>
      <c r="C384" s="86"/>
      <c r="D384" t="s">
        <v>78</v>
      </c>
      <c r="E384" t="s">
        <v>38</v>
      </c>
      <c r="F384" t="s">
        <v>29</v>
      </c>
      <c r="G384" t="s">
        <v>57</v>
      </c>
      <c r="H384" t="s">
        <v>33</v>
      </c>
      <c r="I384" s="23">
        <v>2</v>
      </c>
      <c r="J384">
        <f t="shared" si="15"/>
        <v>6.5346263094686012</v>
      </c>
      <c r="K384">
        <v>0.28635642126552702</v>
      </c>
      <c r="L384" t="s">
        <v>31</v>
      </c>
      <c r="M384" t="s">
        <v>31</v>
      </c>
      <c r="N384" t="s">
        <v>31</v>
      </c>
      <c r="Q384" t="s">
        <v>222</v>
      </c>
    </row>
    <row r="385" spans="1:24">
      <c r="A385" s="23" t="s">
        <v>80</v>
      </c>
      <c r="B385" s="23">
        <v>65.082391412006203</v>
      </c>
      <c r="C385" s="23"/>
      <c r="D385" s="23" t="s">
        <v>48</v>
      </c>
      <c r="E385" s="23" t="s">
        <v>38</v>
      </c>
      <c r="F385" s="23" t="s">
        <v>29</v>
      </c>
      <c r="G385" s="23" t="s">
        <v>235</v>
      </c>
      <c r="H385" s="23" t="s">
        <v>33</v>
      </c>
      <c r="I385" s="23">
        <v>2</v>
      </c>
      <c r="J385">
        <f t="shared" si="15"/>
        <v>4.1756540274041587</v>
      </c>
      <c r="K385">
        <v>0.28635642126552702</v>
      </c>
      <c r="L385" t="s">
        <v>31</v>
      </c>
      <c r="M385" t="s">
        <v>31</v>
      </c>
      <c r="N385" t="s">
        <v>31</v>
      </c>
      <c r="Q385" t="s">
        <v>222</v>
      </c>
      <c r="R385" s="23"/>
      <c r="S385" s="89">
        <v>692.4048847789752</v>
      </c>
      <c r="T385" s="23" t="s">
        <v>236</v>
      </c>
      <c r="U385" s="23">
        <f>S385/0.277778</f>
        <v>2492.6555910798374</v>
      </c>
      <c r="V385" s="23" t="s">
        <v>237</v>
      </c>
      <c r="W385" s="23">
        <f>U385/38.3</f>
        <v>65.082391412006203</v>
      </c>
      <c r="X385" s="23" t="s">
        <v>238</v>
      </c>
    </row>
    <row r="386" spans="1:24">
      <c r="A386" s="29" t="s">
        <v>239</v>
      </c>
      <c r="B386">
        <v>311.0897183180208</v>
      </c>
      <c r="D386" s="23" t="s">
        <v>172</v>
      </c>
      <c r="E386" s="23" t="s">
        <v>38</v>
      </c>
      <c r="F386" s="23" t="s">
        <v>29</v>
      </c>
      <c r="G386" s="23" t="s">
        <v>57</v>
      </c>
      <c r="H386" s="23" t="s">
        <v>33</v>
      </c>
      <c r="I386" s="23">
        <v>2</v>
      </c>
      <c r="J386">
        <f t="shared" si="15"/>
        <v>5.7400813539136042</v>
      </c>
      <c r="K386">
        <v>0.28635642126552702</v>
      </c>
      <c r="L386" t="s">
        <v>31</v>
      </c>
      <c r="M386" t="s">
        <v>31</v>
      </c>
      <c r="N386" t="s">
        <v>31</v>
      </c>
      <c r="Q386" t="s">
        <v>222</v>
      </c>
      <c r="R386" s="29"/>
      <c r="S386" s="89">
        <v>86.413879774943197</v>
      </c>
      <c r="T386" s="23" t="s">
        <v>236</v>
      </c>
      <c r="U386" s="23">
        <f>S386/0.277778</f>
        <v>311.0897183180208</v>
      </c>
      <c r="V386" s="23" t="s">
        <v>237</v>
      </c>
    </row>
    <row r="387" spans="1:24">
      <c r="A387" s="29" t="s">
        <v>73</v>
      </c>
      <c r="B387">
        <v>14.722967851002625</v>
      </c>
      <c r="D387" s="23" t="s">
        <v>37</v>
      </c>
      <c r="E387" s="23" t="s">
        <v>38</v>
      </c>
      <c r="F387" s="23" t="s">
        <v>29</v>
      </c>
      <c r="G387" s="23" t="s">
        <v>57</v>
      </c>
      <c r="H387" s="23" t="s">
        <v>33</v>
      </c>
      <c r="I387">
        <v>2</v>
      </c>
      <c r="J387">
        <f>LN(B387)</f>
        <v>2.6894087132907649</v>
      </c>
      <c r="K387">
        <v>0.28635642126552702</v>
      </c>
      <c r="L387" t="s">
        <v>31</v>
      </c>
      <c r="M387" t="s">
        <v>31</v>
      </c>
      <c r="N387" t="s">
        <v>31</v>
      </c>
      <c r="Q387" t="s">
        <v>222</v>
      </c>
      <c r="R387" s="29"/>
      <c r="S387" s="89">
        <v>183.21930205446816</v>
      </c>
      <c r="T387" s="23" t="s">
        <v>236</v>
      </c>
      <c r="U387" s="23">
        <f>S387/0.277778</f>
        <v>659.58895972491757</v>
      </c>
      <c r="V387" s="23" t="s">
        <v>237</v>
      </c>
      <c r="W387" s="23">
        <f>U387/44.8</f>
        <v>14.722967851002625</v>
      </c>
      <c r="X387" s="23" t="s">
        <v>240</v>
      </c>
    </row>
    <row r="388" spans="1:24">
      <c r="A388" s="29" t="s">
        <v>36</v>
      </c>
      <c r="B388">
        <v>29.065043001382289</v>
      </c>
      <c r="D388" s="23" t="s">
        <v>37</v>
      </c>
      <c r="E388" s="23" t="s">
        <v>38</v>
      </c>
      <c r="F388" s="23" t="s">
        <v>29</v>
      </c>
      <c r="G388" s="23" t="s">
        <v>130</v>
      </c>
      <c r="H388" s="23" t="s">
        <v>33</v>
      </c>
      <c r="I388">
        <v>2</v>
      </c>
      <c r="J388">
        <f t="shared" ref="J388:J396" si="16">LN(B388)</f>
        <v>3.3695361806424065</v>
      </c>
      <c r="K388">
        <v>0.28635642126552702</v>
      </c>
      <c r="L388" t="s">
        <v>31</v>
      </c>
      <c r="M388" t="s">
        <v>31</v>
      </c>
      <c r="N388" t="s">
        <v>31</v>
      </c>
      <c r="Q388" t="s">
        <v>222</v>
      </c>
      <c r="R388" s="29"/>
      <c r="S388" s="89">
        <v>373.00168358551429</v>
      </c>
      <c r="T388" s="23" t="s">
        <v>236</v>
      </c>
      <c r="U388" s="23">
        <f>S388/0.277778</f>
        <v>1342.8049866638619</v>
      </c>
      <c r="V388" s="23" t="s">
        <v>237</v>
      </c>
      <c r="W388" s="23">
        <f>U388/46.2</f>
        <v>29.065043001382289</v>
      </c>
      <c r="X388" s="23" t="s">
        <v>240</v>
      </c>
    </row>
    <row r="389" spans="1:24" s="91" customFormat="1">
      <c r="A389" s="73" t="s">
        <v>56</v>
      </c>
      <c r="B389" s="89">
        <f>W389</f>
        <v>0.17899293343959771</v>
      </c>
      <c r="C389" s="89"/>
      <c r="D389" s="23" t="s">
        <v>37</v>
      </c>
      <c r="E389" t="s">
        <v>2</v>
      </c>
      <c r="F389" s="23" t="s">
        <v>206</v>
      </c>
      <c r="G389" s="23" t="s">
        <v>57</v>
      </c>
      <c r="H389" s="23" t="s">
        <v>33</v>
      </c>
      <c r="I389" s="23">
        <v>2</v>
      </c>
      <c r="J389" s="23">
        <f t="shared" si="16"/>
        <v>-1.7204089519117327</v>
      </c>
      <c r="K389" s="23">
        <v>0.28635642126552702</v>
      </c>
      <c r="L389" s="23" t="s">
        <v>31</v>
      </c>
      <c r="M389" s="23" t="s">
        <v>31</v>
      </c>
      <c r="N389" s="23" t="s">
        <v>31</v>
      </c>
      <c r="Q389" t="s">
        <v>222</v>
      </c>
      <c r="R389" s="90"/>
      <c r="S389" s="89">
        <v>2.1876931588593216</v>
      </c>
      <c r="T389" s="23" t="s">
        <v>236</v>
      </c>
      <c r="U389" s="23">
        <f>S389/0.277778</f>
        <v>7.8756890713422996</v>
      </c>
      <c r="V389" s="23" t="s">
        <v>237</v>
      </c>
      <c r="W389" s="23">
        <f>U389/44</f>
        <v>0.17899293343959771</v>
      </c>
      <c r="X389" s="23" t="s">
        <v>240</v>
      </c>
    </row>
    <row r="390" spans="1:24">
      <c r="A390" t="s">
        <v>82</v>
      </c>
      <c r="B390">
        <v>1679.997802251002</v>
      </c>
      <c r="D390" t="s">
        <v>37</v>
      </c>
      <c r="E390" t="s">
        <v>38</v>
      </c>
      <c r="F390" t="s">
        <v>29</v>
      </c>
      <c r="G390" t="s">
        <v>57</v>
      </c>
      <c r="H390" t="s">
        <v>33</v>
      </c>
      <c r="I390">
        <v>2</v>
      </c>
      <c r="J390">
        <f t="shared" si="16"/>
        <v>7.4265477642125219</v>
      </c>
      <c r="K390">
        <v>0.28635642126552702</v>
      </c>
      <c r="L390" t="s">
        <v>31</v>
      </c>
      <c r="M390" t="s">
        <v>31</v>
      </c>
      <c r="N390" t="s">
        <v>31</v>
      </c>
      <c r="Q390" t="s">
        <v>222</v>
      </c>
    </row>
    <row r="391" spans="1:24">
      <c r="A391" s="88" t="s">
        <v>242</v>
      </c>
      <c r="B391">
        <v>1.5700789401022699</v>
      </c>
      <c r="D391" s="23" t="s">
        <v>48</v>
      </c>
      <c r="E391" s="23" t="s">
        <v>38</v>
      </c>
      <c r="F391" s="23" t="s">
        <v>29</v>
      </c>
      <c r="G391" s="33" t="s">
        <v>130</v>
      </c>
      <c r="H391" s="23" t="s">
        <v>33</v>
      </c>
      <c r="I391">
        <v>2</v>
      </c>
      <c r="J391">
        <f t="shared" si="16"/>
        <v>0.45112589841612089</v>
      </c>
      <c r="K391">
        <v>0.28635642126552702</v>
      </c>
      <c r="L391" t="s">
        <v>31</v>
      </c>
      <c r="M391" t="s">
        <v>31</v>
      </c>
      <c r="N391" t="s">
        <v>31</v>
      </c>
      <c r="Q391" t="s">
        <v>222</v>
      </c>
    </row>
    <row r="392" spans="1:24">
      <c r="A392" t="s">
        <v>243</v>
      </c>
      <c r="B392" s="86">
        <v>38.098676361535084</v>
      </c>
      <c r="C392" s="86"/>
      <c r="D392" t="s">
        <v>37</v>
      </c>
      <c r="E392" t="s">
        <v>38</v>
      </c>
      <c r="F392" t="s">
        <v>29</v>
      </c>
      <c r="G392" t="s">
        <v>130</v>
      </c>
      <c r="H392" t="s">
        <v>33</v>
      </c>
      <c r="I392" s="23">
        <v>2</v>
      </c>
      <c r="J392">
        <f t="shared" si="16"/>
        <v>3.6401795403621087</v>
      </c>
      <c r="K392">
        <v>0.28635642126552702</v>
      </c>
      <c r="L392" t="s">
        <v>31</v>
      </c>
      <c r="M392" t="s">
        <v>31</v>
      </c>
      <c r="N392" t="s">
        <v>31</v>
      </c>
      <c r="Q392" t="s">
        <v>222</v>
      </c>
    </row>
    <row r="393" spans="1:24">
      <c r="A393" t="s">
        <v>46</v>
      </c>
      <c r="B393" s="86">
        <v>715.77437002520026</v>
      </c>
      <c r="C393" s="86"/>
      <c r="D393" t="s">
        <v>37</v>
      </c>
      <c r="E393" t="s">
        <v>41</v>
      </c>
      <c r="F393" t="s">
        <v>42</v>
      </c>
      <c r="G393" t="s">
        <v>29</v>
      </c>
      <c r="H393" t="s">
        <v>43</v>
      </c>
      <c r="I393">
        <v>2</v>
      </c>
      <c r="J393">
        <f t="shared" si="16"/>
        <v>6.5733649916349925</v>
      </c>
      <c r="K393">
        <v>0.28635642126552702</v>
      </c>
      <c r="L393" t="s">
        <v>31</v>
      </c>
      <c r="M393" t="s">
        <v>31</v>
      </c>
      <c r="N393" t="s">
        <v>31</v>
      </c>
      <c r="Q393" t="s">
        <v>222</v>
      </c>
    </row>
    <row r="394" spans="1:24">
      <c r="A394" t="s">
        <v>49</v>
      </c>
      <c r="B394" s="86">
        <v>7.6569260560076253E-3</v>
      </c>
      <c r="C394" s="86"/>
      <c r="D394" t="s">
        <v>37</v>
      </c>
      <c r="E394" t="s">
        <v>41</v>
      </c>
      <c r="F394" t="s">
        <v>42</v>
      </c>
      <c r="G394" t="s">
        <v>29</v>
      </c>
      <c r="H394" t="s">
        <v>43</v>
      </c>
      <c r="I394">
        <v>2</v>
      </c>
      <c r="J394">
        <f t="shared" si="16"/>
        <v>-4.8721446739426248</v>
      </c>
      <c r="K394">
        <v>0.28635642126552702</v>
      </c>
      <c r="L394" t="s">
        <v>31</v>
      </c>
      <c r="M394" t="s">
        <v>31</v>
      </c>
      <c r="N394" t="s">
        <v>31</v>
      </c>
      <c r="Q394" t="s">
        <v>222</v>
      </c>
    </row>
    <row r="395" spans="1:24">
      <c r="A395" t="s">
        <v>40</v>
      </c>
      <c r="B395" s="86">
        <v>0.12141697031669232</v>
      </c>
      <c r="C395" s="86"/>
      <c r="D395" t="s">
        <v>37</v>
      </c>
      <c r="E395" t="s">
        <v>41</v>
      </c>
      <c r="F395" t="s">
        <v>42</v>
      </c>
      <c r="G395" t="s">
        <v>29</v>
      </c>
      <c r="H395" t="s">
        <v>43</v>
      </c>
      <c r="I395" s="23">
        <v>2</v>
      </c>
      <c r="J395">
        <f t="shared" si="16"/>
        <v>-2.108524621685604</v>
      </c>
      <c r="K395">
        <v>0.28635642126552702</v>
      </c>
      <c r="L395" t="s">
        <v>31</v>
      </c>
      <c r="M395" t="s">
        <v>31</v>
      </c>
      <c r="N395" t="s">
        <v>31</v>
      </c>
      <c r="Q395" t="s">
        <v>222</v>
      </c>
    </row>
    <row r="396" spans="1:24">
      <c r="A396" t="s">
        <v>245</v>
      </c>
      <c r="B396">
        <v>0.5748163774902868</v>
      </c>
      <c r="D396" t="s">
        <v>37</v>
      </c>
      <c r="E396" t="s">
        <v>41</v>
      </c>
      <c r="F396" t="s">
        <v>42</v>
      </c>
      <c r="G396" t="s">
        <v>29</v>
      </c>
      <c r="H396" t="s">
        <v>43</v>
      </c>
      <c r="I396">
        <v>2</v>
      </c>
      <c r="J396">
        <f t="shared" si="16"/>
        <v>-0.55370463268093217</v>
      </c>
      <c r="K396">
        <v>0.28635642126552702</v>
      </c>
      <c r="L396" t="s">
        <v>31</v>
      </c>
      <c r="M396" t="s">
        <v>31</v>
      </c>
      <c r="N396" t="s">
        <v>31</v>
      </c>
      <c r="Q396" t="s">
        <v>222</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A07D-F4A6-484A-8581-93561EE57482}">
  <dimension ref="A1:X48"/>
  <sheetViews>
    <sheetView workbookViewId="0">
      <selection activeCell="D22" sqref="D22"/>
    </sheetView>
  </sheetViews>
  <sheetFormatPr defaultRowHeight="15"/>
  <cols>
    <col min="1" max="1" width="75.28515625" bestFit="1" customWidth="1"/>
    <col min="2" max="2" width="11" customWidth="1"/>
    <col min="4" max="4" width="15.28515625" customWidth="1"/>
    <col min="5" max="5" width="33" bestFit="1" customWidth="1"/>
    <col min="6" max="6" width="11" bestFit="1" customWidth="1"/>
    <col min="7" max="7" width="13.85546875" bestFit="1" customWidth="1"/>
  </cols>
  <sheetData>
    <row r="1" spans="1:24" s="139" customFormat="1">
      <c r="A1" s="139" t="s">
        <v>0</v>
      </c>
      <c r="B1" s="139" t="s">
        <v>383</v>
      </c>
      <c r="C1" s="140"/>
    </row>
    <row r="2" spans="1:24">
      <c r="A2" s="82" t="s">
        <v>5</v>
      </c>
      <c r="B2" s="82" t="s">
        <v>292</v>
      </c>
      <c r="C2" s="82"/>
      <c r="D2" s="26"/>
      <c r="E2" s="28"/>
      <c r="F2" s="28"/>
      <c r="G2" s="28"/>
      <c r="H2" s="28"/>
      <c r="I2" s="28"/>
      <c r="J2" s="28"/>
      <c r="K2" s="28"/>
      <c r="L2" s="28"/>
      <c r="M2" s="28"/>
      <c r="N2" s="28"/>
      <c r="O2" s="28"/>
      <c r="P2" s="28"/>
      <c r="Q2" s="28" t="s">
        <v>222</v>
      </c>
      <c r="S2" s="23"/>
      <c r="T2" s="23"/>
      <c r="U2" s="23"/>
      <c r="V2" s="23"/>
      <c r="W2" s="23"/>
      <c r="X2" s="23"/>
    </row>
    <row r="3" spans="1:24">
      <c r="A3" t="s">
        <v>7</v>
      </c>
      <c r="B3" t="s">
        <v>223</v>
      </c>
      <c r="Q3" t="s">
        <v>222</v>
      </c>
      <c r="S3" s="23"/>
      <c r="T3" s="23"/>
      <c r="U3" s="23"/>
      <c r="V3" s="23"/>
      <c r="W3" s="23"/>
      <c r="X3" s="23"/>
    </row>
    <row r="4" spans="1:24">
      <c r="A4" t="s">
        <v>9</v>
      </c>
      <c r="B4" s="23" t="s">
        <v>384</v>
      </c>
      <c r="C4" s="23"/>
      <c r="Q4" t="s">
        <v>222</v>
      </c>
      <c r="S4" s="23"/>
      <c r="T4" s="23"/>
      <c r="U4" s="23"/>
      <c r="V4" s="23"/>
      <c r="W4" s="23"/>
      <c r="X4" s="23"/>
    </row>
    <row r="5" spans="1:24">
      <c r="A5" t="s">
        <v>11</v>
      </c>
      <c r="B5" t="s">
        <v>385</v>
      </c>
      <c r="Q5" t="s">
        <v>222</v>
      </c>
      <c r="S5" s="23"/>
      <c r="T5" s="23"/>
      <c r="U5" s="23"/>
      <c r="V5" s="23"/>
      <c r="W5" s="23"/>
      <c r="X5" s="23"/>
    </row>
    <row r="6" spans="1:24">
      <c r="A6" t="s">
        <v>13</v>
      </c>
      <c r="B6" t="s">
        <v>130</v>
      </c>
      <c r="Q6" t="s">
        <v>222</v>
      </c>
      <c r="S6" s="23"/>
      <c r="T6" s="23"/>
      <c r="U6" s="23"/>
      <c r="V6" s="23"/>
      <c r="W6" s="23"/>
      <c r="X6" s="23"/>
    </row>
    <row r="7" spans="1:24">
      <c r="A7" t="s">
        <v>15</v>
      </c>
      <c r="B7">
        <v>1</v>
      </c>
      <c r="Q7" t="s">
        <v>222</v>
      </c>
      <c r="S7" s="23"/>
      <c r="T7" s="23"/>
      <c r="U7" s="23"/>
      <c r="V7" s="23"/>
      <c r="W7" s="23"/>
      <c r="X7" s="23"/>
    </row>
    <row r="8" spans="1:24">
      <c r="A8" t="s">
        <v>16</v>
      </c>
      <c r="B8" t="s">
        <v>17</v>
      </c>
      <c r="Q8" t="s">
        <v>222</v>
      </c>
      <c r="S8" s="23"/>
      <c r="T8" s="23"/>
      <c r="U8" s="23"/>
      <c r="V8" s="23"/>
      <c r="W8" s="23"/>
      <c r="X8" s="23"/>
    </row>
    <row r="9" spans="1:24">
      <c r="A9" t="s">
        <v>18</v>
      </c>
      <c r="B9" t="s">
        <v>37</v>
      </c>
      <c r="E9" t="s">
        <v>226</v>
      </c>
      <c r="Q9" t="s">
        <v>222</v>
      </c>
      <c r="S9" s="23"/>
      <c r="T9" s="23"/>
      <c r="U9" s="23"/>
      <c r="V9" s="23"/>
      <c r="W9" s="23"/>
      <c r="X9" s="23"/>
    </row>
    <row r="10" spans="1:24">
      <c r="A10" s="76" t="s">
        <v>19</v>
      </c>
      <c r="Q10" t="s">
        <v>222</v>
      </c>
      <c r="S10" s="23"/>
      <c r="T10" s="23"/>
      <c r="U10" s="23"/>
      <c r="V10" s="23"/>
      <c r="W10" s="23"/>
      <c r="X10" s="23"/>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c r="S11" s="23"/>
      <c r="T11" s="23"/>
      <c r="U11" s="23"/>
      <c r="V11" s="23"/>
      <c r="W11" s="23"/>
      <c r="X11" s="23"/>
    </row>
    <row r="12" spans="1:24">
      <c r="A12" t="s">
        <v>292</v>
      </c>
      <c r="B12">
        <v>1</v>
      </c>
      <c r="D12" t="s">
        <v>37</v>
      </c>
      <c r="E12" t="s">
        <v>2</v>
      </c>
      <c r="F12" t="s">
        <v>29</v>
      </c>
      <c r="G12" t="s">
        <v>130</v>
      </c>
      <c r="H12" t="s">
        <v>30</v>
      </c>
      <c r="I12">
        <v>1</v>
      </c>
      <c r="J12">
        <v>1</v>
      </c>
      <c r="K12" t="s">
        <v>31</v>
      </c>
      <c r="L12" t="s">
        <v>31</v>
      </c>
      <c r="M12" t="s">
        <v>31</v>
      </c>
      <c r="N12" t="s">
        <v>31</v>
      </c>
      <c r="Q12" t="s">
        <v>222</v>
      </c>
      <c r="S12" s="23"/>
      <c r="T12" s="23"/>
      <c r="U12" s="23"/>
      <c r="V12" s="23"/>
      <c r="W12" s="23"/>
      <c r="X12" s="23"/>
    </row>
    <row r="13" spans="1:24">
      <c r="A13" s="29" t="s">
        <v>243</v>
      </c>
      <c r="B13">
        <v>-1</v>
      </c>
      <c r="D13" t="s">
        <v>37</v>
      </c>
      <c r="E13" s="81" t="s">
        <v>38</v>
      </c>
      <c r="F13" s="81" t="s">
        <v>29</v>
      </c>
      <c r="G13" s="81" t="s">
        <v>130</v>
      </c>
      <c r="H13" s="81" t="s">
        <v>33</v>
      </c>
      <c r="I13">
        <v>1</v>
      </c>
      <c r="J13">
        <v>1</v>
      </c>
      <c r="K13" t="s">
        <v>31</v>
      </c>
      <c r="L13" t="s">
        <v>31</v>
      </c>
      <c r="M13" t="s">
        <v>31</v>
      </c>
      <c r="N13" t="s">
        <v>31</v>
      </c>
      <c r="Q13" s="23" t="s">
        <v>222</v>
      </c>
      <c r="S13" s="23"/>
      <c r="T13" s="23"/>
      <c r="U13" s="23"/>
      <c r="V13" s="23"/>
      <c r="W13" s="23"/>
      <c r="X13" s="23"/>
    </row>
    <row r="14" spans="1:24">
      <c r="A14" s="82" t="s">
        <v>5</v>
      </c>
      <c r="B14" s="82" t="s">
        <v>335</v>
      </c>
      <c r="C14" s="82"/>
      <c r="D14" s="26"/>
      <c r="E14" s="28"/>
      <c r="F14" s="28"/>
      <c r="G14" s="28"/>
      <c r="H14" s="28"/>
      <c r="I14" s="28"/>
      <c r="J14" s="28"/>
      <c r="K14" s="28"/>
      <c r="L14" s="28"/>
      <c r="M14" s="28"/>
      <c r="N14" s="28"/>
      <c r="O14" s="28"/>
      <c r="P14" s="28"/>
      <c r="Q14" s="28" t="s">
        <v>222</v>
      </c>
      <c r="S14" s="23"/>
      <c r="T14" s="23"/>
      <c r="U14" s="23"/>
      <c r="V14" s="23"/>
      <c r="W14" s="23"/>
      <c r="X14" s="23"/>
    </row>
    <row r="15" spans="1:24">
      <c r="A15" t="s">
        <v>7</v>
      </c>
      <c r="B15" t="s">
        <v>223</v>
      </c>
      <c r="Q15" t="s">
        <v>222</v>
      </c>
      <c r="S15" s="23"/>
      <c r="T15" s="23"/>
      <c r="U15" s="23"/>
      <c r="V15" s="23"/>
      <c r="W15" s="23"/>
      <c r="X15" s="23"/>
    </row>
    <row r="16" spans="1:24">
      <c r="A16" t="s">
        <v>9</v>
      </c>
      <c r="B16" s="23" t="s">
        <v>386</v>
      </c>
      <c r="C16" s="23"/>
      <c r="Q16" t="s">
        <v>222</v>
      </c>
      <c r="S16" s="23"/>
      <c r="T16" s="23"/>
      <c r="U16" s="23"/>
      <c r="V16" s="23"/>
      <c r="W16" s="23"/>
      <c r="X16" s="23"/>
    </row>
    <row r="17" spans="1:24">
      <c r="A17" t="s">
        <v>11</v>
      </c>
      <c r="B17" t="s">
        <v>385</v>
      </c>
      <c r="Q17" t="s">
        <v>222</v>
      </c>
      <c r="S17" s="23"/>
      <c r="T17" s="23"/>
      <c r="U17" s="23"/>
      <c r="V17" s="23"/>
      <c r="W17" s="23"/>
      <c r="X17" s="23"/>
    </row>
    <row r="18" spans="1:24">
      <c r="A18" t="s">
        <v>13</v>
      </c>
      <c r="B18" t="s">
        <v>57</v>
      </c>
      <c r="Q18" t="s">
        <v>222</v>
      </c>
      <c r="S18" s="23"/>
      <c r="T18" s="23"/>
      <c r="U18" s="23"/>
      <c r="V18" s="23"/>
      <c r="W18" s="23"/>
      <c r="X18" s="23"/>
    </row>
    <row r="19" spans="1:24">
      <c r="A19" t="s">
        <v>15</v>
      </c>
      <c r="B19">
        <v>1</v>
      </c>
      <c r="Q19" t="s">
        <v>222</v>
      </c>
      <c r="S19" s="23"/>
      <c r="T19" s="23"/>
      <c r="U19" s="23"/>
      <c r="V19" s="23"/>
      <c r="W19" s="23"/>
      <c r="X19" s="23"/>
    </row>
    <row r="20" spans="1:24">
      <c r="A20" t="s">
        <v>16</v>
      </c>
      <c r="B20" t="s">
        <v>17</v>
      </c>
      <c r="Q20" t="s">
        <v>222</v>
      </c>
      <c r="S20" s="23"/>
      <c r="T20" s="23"/>
      <c r="U20" s="23"/>
      <c r="V20" s="23"/>
      <c r="W20" s="23"/>
      <c r="X20" s="23"/>
    </row>
    <row r="21" spans="1:24">
      <c r="A21" t="s">
        <v>18</v>
      </c>
      <c r="B21" t="s">
        <v>37</v>
      </c>
      <c r="E21" t="s">
        <v>226</v>
      </c>
      <c r="Q21" t="s">
        <v>222</v>
      </c>
      <c r="S21" s="23"/>
      <c r="T21" s="23"/>
      <c r="U21" s="23"/>
      <c r="V21" s="23"/>
      <c r="W21" s="23"/>
      <c r="X21" s="23"/>
    </row>
    <row r="22" spans="1:24">
      <c r="A22" s="76" t="s">
        <v>19</v>
      </c>
      <c r="Q22" t="s">
        <v>222</v>
      </c>
      <c r="S22" s="23"/>
      <c r="T22" s="23"/>
      <c r="U22" s="23"/>
      <c r="V22" s="23"/>
      <c r="W22" s="23"/>
      <c r="X22" s="23"/>
    </row>
    <row r="23" spans="1:24">
      <c r="A23" s="76" t="s">
        <v>20</v>
      </c>
      <c r="B23" s="76" t="s">
        <v>21</v>
      </c>
      <c r="C23" s="76" t="s">
        <v>209</v>
      </c>
      <c r="D23" s="76" t="s">
        <v>18</v>
      </c>
      <c r="E23" s="76" t="s">
        <v>22</v>
      </c>
      <c r="F23" s="76" t="s">
        <v>7</v>
      </c>
      <c r="G23" s="76" t="s">
        <v>13</v>
      </c>
      <c r="H23" s="76" t="s">
        <v>16</v>
      </c>
      <c r="I23" s="76" t="s">
        <v>23</v>
      </c>
      <c r="J23" s="76" t="s">
        <v>24</v>
      </c>
      <c r="K23" s="76" t="s">
        <v>25</v>
      </c>
      <c r="L23" s="76" t="s">
        <v>26</v>
      </c>
      <c r="M23" s="76" t="s">
        <v>27</v>
      </c>
      <c r="N23" s="76" t="s">
        <v>28</v>
      </c>
      <c r="O23" s="76" t="s">
        <v>11</v>
      </c>
      <c r="P23" s="85" t="s">
        <v>227</v>
      </c>
      <c r="Q23" t="s">
        <v>222</v>
      </c>
      <c r="S23" s="23"/>
      <c r="T23" s="23"/>
      <c r="U23" s="23"/>
      <c r="V23" s="23"/>
      <c r="W23" s="23"/>
      <c r="X23" s="23"/>
    </row>
    <row r="24" spans="1:24">
      <c r="A24" t="s">
        <v>335</v>
      </c>
      <c r="B24">
        <v>1</v>
      </c>
      <c r="D24" t="s">
        <v>37</v>
      </c>
      <c r="E24" t="s">
        <v>2</v>
      </c>
      <c r="F24" t="s">
        <v>29</v>
      </c>
      <c r="G24" t="s">
        <v>57</v>
      </c>
      <c r="H24" t="s">
        <v>30</v>
      </c>
      <c r="I24">
        <v>1</v>
      </c>
      <c r="J24">
        <v>1</v>
      </c>
      <c r="K24" t="s">
        <v>31</v>
      </c>
      <c r="L24" t="s">
        <v>31</v>
      </c>
      <c r="M24" t="s">
        <v>31</v>
      </c>
      <c r="N24" t="s">
        <v>31</v>
      </c>
      <c r="Q24" t="s">
        <v>222</v>
      </c>
      <c r="S24" s="23"/>
      <c r="T24" s="23"/>
      <c r="U24" s="23"/>
      <c r="V24" s="23"/>
      <c r="W24" s="23"/>
      <c r="X24" s="23"/>
    </row>
    <row r="25" spans="1:24">
      <c r="A25" s="33" t="s">
        <v>387</v>
      </c>
      <c r="B25">
        <v>-1</v>
      </c>
      <c r="D25" t="s">
        <v>37</v>
      </c>
      <c r="E25" s="81" t="s">
        <v>38</v>
      </c>
      <c r="F25" s="81" t="s">
        <v>29</v>
      </c>
      <c r="G25" s="81" t="s">
        <v>57</v>
      </c>
      <c r="H25" s="81" t="s">
        <v>33</v>
      </c>
      <c r="I25">
        <v>1</v>
      </c>
      <c r="J25">
        <v>1</v>
      </c>
      <c r="K25" t="s">
        <v>31</v>
      </c>
      <c r="L25" t="s">
        <v>31</v>
      </c>
      <c r="M25" t="s">
        <v>31</v>
      </c>
      <c r="N25" t="s">
        <v>31</v>
      </c>
      <c r="Q25" s="23" t="s">
        <v>222</v>
      </c>
      <c r="S25" s="23"/>
      <c r="T25" s="23"/>
      <c r="U25" s="23"/>
      <c r="V25" s="23"/>
      <c r="W25" s="23"/>
      <c r="X25" s="23"/>
    </row>
    <row r="26" spans="1:24" s="28" customFormat="1">
      <c r="A26" s="82" t="s">
        <v>5</v>
      </c>
      <c r="B26" s="82" t="s">
        <v>355</v>
      </c>
      <c r="C26" s="82"/>
      <c r="D26" s="26"/>
      <c r="Q26" s="28" t="s">
        <v>222</v>
      </c>
      <c r="S26" s="83"/>
      <c r="T26" s="83"/>
      <c r="U26" s="83"/>
      <c r="V26" s="83"/>
      <c r="W26" s="83"/>
      <c r="X26" s="83"/>
    </row>
    <row r="27" spans="1:24">
      <c r="A27" t="s">
        <v>7</v>
      </c>
      <c r="B27" t="s">
        <v>223</v>
      </c>
      <c r="Q27" t="s">
        <v>222</v>
      </c>
      <c r="S27" s="23"/>
      <c r="T27" s="23"/>
      <c r="U27" s="23"/>
      <c r="V27" s="23"/>
      <c r="W27" s="23"/>
      <c r="X27" s="23"/>
    </row>
    <row r="28" spans="1:24">
      <c r="A28" t="s">
        <v>9</v>
      </c>
      <c r="B28" s="23" t="s">
        <v>388</v>
      </c>
      <c r="C28" s="23"/>
      <c r="Q28" t="s">
        <v>222</v>
      </c>
      <c r="S28" s="23"/>
      <c r="T28" s="23"/>
      <c r="U28" s="23"/>
      <c r="V28" s="23"/>
      <c r="W28" s="23"/>
      <c r="X28" s="23"/>
    </row>
    <row r="29" spans="1:24">
      <c r="A29" t="s">
        <v>11</v>
      </c>
      <c r="B29" t="s">
        <v>385</v>
      </c>
      <c r="Q29" t="s">
        <v>222</v>
      </c>
      <c r="S29" s="23"/>
      <c r="T29" s="23"/>
      <c r="U29" s="23"/>
      <c r="V29" s="23"/>
      <c r="W29" s="23"/>
      <c r="X29" s="23"/>
    </row>
    <row r="30" spans="1:24">
      <c r="A30" t="s">
        <v>13</v>
      </c>
      <c r="B30" t="s">
        <v>130</v>
      </c>
      <c r="Q30" t="s">
        <v>222</v>
      </c>
      <c r="S30" s="23"/>
      <c r="T30" s="23"/>
      <c r="U30" s="23"/>
      <c r="V30" s="23"/>
      <c r="W30" s="23"/>
      <c r="X30" s="23"/>
    </row>
    <row r="31" spans="1:24">
      <c r="A31" t="s">
        <v>15</v>
      </c>
      <c r="B31">
        <v>1</v>
      </c>
      <c r="Q31" t="s">
        <v>222</v>
      </c>
      <c r="S31" s="23"/>
      <c r="T31" s="23"/>
      <c r="U31" s="23"/>
      <c r="V31" s="23"/>
      <c r="W31" s="23"/>
      <c r="X31" s="23"/>
    </row>
    <row r="32" spans="1:24">
      <c r="A32" t="s">
        <v>16</v>
      </c>
      <c r="B32" t="s">
        <v>17</v>
      </c>
      <c r="Q32" t="s">
        <v>222</v>
      </c>
      <c r="S32" s="23"/>
      <c r="T32" s="23"/>
      <c r="U32" s="23"/>
      <c r="V32" s="23"/>
      <c r="W32" s="23"/>
      <c r="X32" s="23"/>
    </row>
    <row r="33" spans="1:24">
      <c r="A33" t="s">
        <v>18</v>
      </c>
      <c r="B33" t="str">
        <f>D36</f>
        <v>kilogram</v>
      </c>
      <c r="E33" t="s">
        <v>226</v>
      </c>
      <c r="Q33" t="s">
        <v>222</v>
      </c>
      <c r="S33" s="23"/>
      <c r="T33" s="23"/>
      <c r="U33" s="23"/>
      <c r="V33" s="23"/>
      <c r="W33" s="23"/>
      <c r="X33" s="23"/>
    </row>
    <row r="34" spans="1:24">
      <c r="A34" s="76" t="s">
        <v>19</v>
      </c>
      <c r="Q34" t="s">
        <v>222</v>
      </c>
      <c r="S34" s="23"/>
      <c r="T34" s="23"/>
      <c r="U34" s="23"/>
      <c r="V34" s="23"/>
      <c r="W34" s="23"/>
      <c r="X34" s="23"/>
    </row>
    <row r="35" spans="1:24">
      <c r="A35" s="76" t="s">
        <v>20</v>
      </c>
      <c r="B35" s="76" t="s">
        <v>21</v>
      </c>
      <c r="C35" s="76" t="s">
        <v>209</v>
      </c>
      <c r="D35" s="76" t="s">
        <v>18</v>
      </c>
      <c r="E35" s="76" t="s">
        <v>22</v>
      </c>
      <c r="F35" s="76" t="s">
        <v>7</v>
      </c>
      <c r="G35" s="76" t="s">
        <v>13</v>
      </c>
      <c r="H35" s="76" t="s">
        <v>16</v>
      </c>
      <c r="I35" s="76" t="s">
        <v>23</v>
      </c>
      <c r="J35" s="76" t="s">
        <v>24</v>
      </c>
      <c r="K35" s="76" t="s">
        <v>25</v>
      </c>
      <c r="L35" s="76" t="s">
        <v>26</v>
      </c>
      <c r="M35" s="76" t="s">
        <v>27</v>
      </c>
      <c r="N35" s="76" t="s">
        <v>28</v>
      </c>
      <c r="O35" s="76" t="s">
        <v>11</v>
      </c>
      <c r="P35" s="85" t="s">
        <v>227</v>
      </c>
      <c r="Q35" t="s">
        <v>222</v>
      </c>
      <c r="S35" s="23"/>
      <c r="T35" s="23"/>
      <c r="U35" s="23"/>
      <c r="V35" s="23"/>
      <c r="W35" s="23"/>
      <c r="X35" s="23"/>
    </row>
    <row r="36" spans="1:24">
      <c r="A36" t="s">
        <v>355</v>
      </c>
      <c r="B36">
        <v>1</v>
      </c>
      <c r="D36" t="s">
        <v>37</v>
      </c>
      <c r="E36" t="s">
        <v>2</v>
      </c>
      <c r="F36" t="s">
        <v>29</v>
      </c>
      <c r="G36" t="s">
        <v>130</v>
      </c>
      <c r="H36" t="s">
        <v>30</v>
      </c>
      <c r="I36">
        <v>1</v>
      </c>
      <c r="J36">
        <v>1</v>
      </c>
      <c r="K36" t="s">
        <v>31</v>
      </c>
      <c r="L36" t="s">
        <v>31</v>
      </c>
      <c r="M36" t="s">
        <v>31</v>
      </c>
      <c r="N36" t="s">
        <v>31</v>
      </c>
      <c r="Q36" t="s">
        <v>222</v>
      </c>
      <c r="S36" s="23"/>
      <c r="T36" s="23"/>
      <c r="U36" s="23"/>
      <c r="V36" s="23"/>
      <c r="W36" s="23"/>
      <c r="X36" s="23"/>
    </row>
    <row r="37" spans="1:24" s="142" customFormat="1">
      <c r="A37" s="141" t="s">
        <v>389</v>
      </c>
      <c r="B37" s="142">
        <v>-1</v>
      </c>
      <c r="C37" s="143"/>
      <c r="D37" s="142" t="s">
        <v>37</v>
      </c>
      <c r="E37" s="144" t="s">
        <v>38</v>
      </c>
      <c r="F37" s="144" t="s">
        <v>29</v>
      </c>
      <c r="G37" s="142" t="s">
        <v>130</v>
      </c>
      <c r="H37" s="144" t="s">
        <v>33</v>
      </c>
      <c r="I37" s="142">
        <v>1</v>
      </c>
      <c r="J37" s="142">
        <v>1</v>
      </c>
      <c r="K37" s="142" t="s">
        <v>31</v>
      </c>
      <c r="L37" s="142" t="s">
        <v>31</v>
      </c>
      <c r="M37" s="142" t="s">
        <v>31</v>
      </c>
      <c r="N37" s="142" t="s">
        <v>31</v>
      </c>
      <c r="Q37" s="145" t="s">
        <v>222</v>
      </c>
      <c r="S37" s="145"/>
      <c r="T37" s="145"/>
      <c r="U37" s="145"/>
      <c r="V37" s="145"/>
      <c r="W37" s="145"/>
      <c r="X37" s="145"/>
    </row>
    <row r="38" spans="1:24" s="139" customFormat="1">
      <c r="A38" s="146"/>
      <c r="C38" s="140"/>
      <c r="D38" s="140"/>
      <c r="E38" s="140"/>
      <c r="F38" s="140"/>
      <c r="G38" s="140"/>
      <c r="H38" s="140"/>
      <c r="Q38" s="146"/>
      <c r="R38" s="147"/>
      <c r="S38" s="140"/>
      <c r="T38" s="140"/>
    </row>
    <row r="39" spans="1:24" s="139" customFormat="1">
      <c r="A39" s="146"/>
      <c r="C39" s="140"/>
      <c r="D39" s="140"/>
      <c r="E39" s="140"/>
      <c r="F39" s="140"/>
      <c r="G39" s="140"/>
      <c r="Q39" s="146"/>
      <c r="R39" s="147"/>
      <c r="S39" s="140"/>
      <c r="T39" s="140"/>
    </row>
    <row r="40" spans="1:24" s="139" customFormat="1">
      <c r="A40" s="146"/>
      <c r="C40" s="140"/>
      <c r="D40" s="140"/>
      <c r="E40" s="140"/>
      <c r="F40" s="140"/>
      <c r="G40" s="140"/>
      <c r="Q40" s="146"/>
      <c r="R40" s="147"/>
      <c r="S40" s="140"/>
      <c r="T40" s="140"/>
    </row>
    <row r="41" spans="1:24" s="139" customFormat="1">
      <c r="A41" s="146"/>
      <c r="B41" s="147"/>
      <c r="C41" s="140"/>
      <c r="D41" s="140"/>
      <c r="E41" s="140"/>
      <c r="F41" s="140"/>
      <c r="G41" s="140"/>
      <c r="H41" s="140"/>
      <c r="Q41" s="148"/>
      <c r="R41" s="147"/>
      <c r="S41" s="140"/>
      <c r="T41" s="140"/>
    </row>
    <row r="42" spans="1:24" s="139" customFormat="1"/>
    <row r="43" spans="1:24" s="139" customFormat="1">
      <c r="A43" s="149"/>
      <c r="C43" s="140"/>
      <c r="D43" s="140"/>
      <c r="E43" s="140"/>
      <c r="F43" s="150"/>
      <c r="G43" s="140"/>
    </row>
    <row r="44" spans="1:24" s="139" customFormat="1">
      <c r="B44" s="147"/>
      <c r="H44" s="140"/>
    </row>
    <row r="45" spans="1:24" s="139" customFormat="1">
      <c r="B45" s="147"/>
    </row>
    <row r="46" spans="1:24" s="139" customFormat="1">
      <c r="B46" s="147"/>
    </row>
    <row r="47" spans="1:24" s="139" customFormat="1">
      <c r="B47" s="147"/>
      <c r="H47" s="140"/>
    </row>
    <row r="48" spans="1:24" s="13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16" sqref="B116:B11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200</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391</v>
      </c>
      <c r="C4" s="4"/>
      <c r="D4" s="13"/>
      <c r="E4" s="13"/>
      <c r="F4" s="13"/>
      <c r="G4" s="13"/>
      <c r="H4" s="13"/>
      <c r="I4" s="13"/>
      <c r="J4" s="13"/>
      <c r="K4" s="13"/>
      <c r="L4" s="13"/>
      <c r="M4" s="13"/>
    </row>
    <row r="5" spans="1:13" ht="45">
      <c r="A5" s="12" t="s">
        <v>11</v>
      </c>
      <c r="B5" s="14" t="s">
        <v>392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200</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393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394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395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396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397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398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399</v>
      </c>
      <c r="B19" s="13">
        <v>53132.464000000007</v>
      </c>
      <c r="C19" s="13" t="s">
        <v>78</v>
      </c>
      <c r="D19" s="8" t="s">
        <v>38</v>
      </c>
      <c r="E19" s="13" t="s">
        <v>29</v>
      </c>
      <c r="F19" s="15" t="s">
        <v>14</v>
      </c>
      <c r="G19" s="13" t="s">
        <v>33</v>
      </c>
      <c r="H19" s="13">
        <v>2</v>
      </c>
      <c r="I19" s="13">
        <f>LN(B19)</f>
        <v>10.880543395181212</v>
      </c>
      <c r="J19" s="13">
        <v>5.0990195135927806E-2</v>
      </c>
      <c r="K19" s="13" t="s">
        <v>31</v>
      </c>
      <c r="L19" s="13" t="s">
        <v>31</v>
      </c>
      <c r="M19" s="13" t="s">
        <v>31</v>
      </c>
    </row>
    <row r="20" spans="1:13" ht="15.75">
      <c r="A20" s="7" t="s">
        <v>80</v>
      </c>
      <c r="B20" s="13">
        <f>108600.3611/(1/3.6)/38.3</f>
        <v>10207.866839686683</v>
      </c>
      <c r="C20" s="13" t="s">
        <v>48</v>
      </c>
      <c r="D20" s="8" t="s">
        <v>38</v>
      </c>
      <c r="E20" s="13" t="s">
        <v>29</v>
      </c>
      <c r="F20" s="15" t="s">
        <v>14</v>
      </c>
      <c r="G20" s="13" t="s">
        <v>33</v>
      </c>
      <c r="H20" s="13">
        <v>2</v>
      </c>
      <c r="I20" s="13">
        <f t="shared" ref="I20:I30" si="1">LN(B20)</f>
        <v>9.2309139607979489</v>
      </c>
      <c r="J20" s="13">
        <v>5.0990195135927806E-2</v>
      </c>
      <c r="K20" s="13" t="s">
        <v>31</v>
      </c>
      <c r="L20" s="13" t="s">
        <v>31</v>
      </c>
      <c r="M20" s="13" t="s">
        <v>31</v>
      </c>
    </row>
    <row r="21" spans="1:13" ht="15.75">
      <c r="A21" s="7" t="s">
        <v>239</v>
      </c>
      <c r="B21" s="13">
        <f>16560.3438*3.6</f>
        <v>59617.237679999998</v>
      </c>
      <c r="C21" s="13" t="s">
        <v>172</v>
      </c>
      <c r="D21" s="8" t="s">
        <v>38</v>
      </c>
      <c r="E21" s="13" t="s">
        <v>29</v>
      </c>
      <c r="F21" s="15" t="s">
        <v>57</v>
      </c>
      <c r="G21" s="13" t="s">
        <v>33</v>
      </c>
      <c r="H21" s="13">
        <v>2</v>
      </c>
      <c r="I21" s="13">
        <f t="shared" si="1"/>
        <v>10.995700034055377</v>
      </c>
      <c r="J21" s="13">
        <v>5.0990195135927806E-2</v>
      </c>
      <c r="K21" s="13" t="s">
        <v>31</v>
      </c>
      <c r="L21" s="13" t="s">
        <v>31</v>
      </c>
      <c r="M21" s="13" t="s">
        <v>31</v>
      </c>
    </row>
    <row r="22" spans="1:13" ht="15.75">
      <c r="A22" s="7" t="s">
        <v>400</v>
      </c>
      <c r="B22" s="13">
        <f>97.9902*3.6/44.8</f>
        <v>7.8742125000000005</v>
      </c>
      <c r="C22" s="13" t="s">
        <v>37</v>
      </c>
      <c r="D22" s="8" t="s">
        <v>38</v>
      </c>
      <c r="E22" s="13" t="s">
        <v>29</v>
      </c>
      <c r="F22" s="15" t="s">
        <v>14</v>
      </c>
      <c r="G22" s="13" t="s">
        <v>33</v>
      </c>
      <c r="H22" s="13">
        <v>2</v>
      </c>
      <c r="I22" s="13">
        <f t="shared" si="1"/>
        <v>2.0635931797113636</v>
      </c>
      <c r="J22" s="13">
        <v>5.0990195135927806E-2</v>
      </c>
      <c r="K22" s="13" t="s">
        <v>31</v>
      </c>
      <c r="L22" s="13" t="s">
        <v>31</v>
      </c>
      <c r="M22" s="13" t="s">
        <v>31</v>
      </c>
    </row>
    <row r="23" spans="1:13" ht="15.75">
      <c r="A23" s="7" t="s">
        <v>36</v>
      </c>
      <c r="B23" s="13">
        <f>11306.9803*3.6/46.2</f>
        <v>881.06339999999989</v>
      </c>
      <c r="C23" s="13" t="s">
        <v>37</v>
      </c>
      <c r="D23" s="8" t="s">
        <v>38</v>
      </c>
      <c r="E23" s="13" t="s">
        <v>29</v>
      </c>
      <c r="F23" s="15" t="s">
        <v>39</v>
      </c>
      <c r="G23" s="13" t="s">
        <v>33</v>
      </c>
      <c r="H23" s="13">
        <v>2</v>
      </c>
      <c r="I23" s="13">
        <f t="shared" si="1"/>
        <v>6.7811295870245569</v>
      </c>
      <c r="J23" s="13">
        <v>5.0990195135927806E-2</v>
      </c>
      <c r="K23" s="13" t="s">
        <v>31</v>
      </c>
      <c r="L23" s="13" t="s">
        <v>31</v>
      </c>
      <c r="M23" s="13" t="s">
        <v>31</v>
      </c>
    </row>
    <row r="24" spans="1:13" ht="15.75">
      <c r="A24" s="7" t="s">
        <v>82</v>
      </c>
      <c r="B24" s="9">
        <v>16331.7</v>
      </c>
      <c r="C24" s="13" t="s">
        <v>37</v>
      </c>
      <c r="D24" s="8" t="s">
        <v>38</v>
      </c>
      <c r="E24" s="13" t="s">
        <v>29</v>
      </c>
      <c r="F24" s="15" t="s">
        <v>57</v>
      </c>
      <c r="G24" s="13" t="s">
        <v>33</v>
      </c>
      <c r="H24" s="13">
        <v>2</v>
      </c>
      <c r="I24" s="13">
        <f t="shared" si="1"/>
        <v>9.7008632834243205</v>
      </c>
      <c r="J24" s="13">
        <v>5.0990195135927806E-2</v>
      </c>
      <c r="K24" s="13" t="s">
        <v>31</v>
      </c>
      <c r="L24" s="13" t="s">
        <v>31</v>
      </c>
      <c r="M24" s="13" t="s">
        <v>31</v>
      </c>
    </row>
    <row r="25" spans="1:13" ht="15.75">
      <c r="A25" s="7" t="s">
        <v>242</v>
      </c>
      <c r="B25" s="9">
        <f>21775.6/1000</f>
        <v>21.775599999999997</v>
      </c>
      <c r="C25" s="13" t="s">
        <v>48</v>
      </c>
      <c r="D25" s="8" t="s">
        <v>38</v>
      </c>
      <c r="E25" s="13" t="s">
        <v>29</v>
      </c>
      <c r="F25" s="15" t="s">
        <v>39</v>
      </c>
      <c r="G25" s="13" t="s">
        <v>33</v>
      </c>
      <c r="H25" s="13">
        <v>2</v>
      </c>
      <c r="I25" s="13">
        <f t="shared" si="1"/>
        <v>3.0807900768939644</v>
      </c>
      <c r="J25" s="13">
        <v>5.0990195135927806E-2</v>
      </c>
      <c r="K25" s="13" t="s">
        <v>31</v>
      </c>
      <c r="L25" s="13" t="s">
        <v>31</v>
      </c>
      <c r="M25" s="13" t="s">
        <v>31</v>
      </c>
    </row>
    <row r="26" spans="1:13" ht="15.75">
      <c r="A26" s="7" t="s">
        <v>46</v>
      </c>
      <c r="B26" s="9">
        <v>9665.1653868000012</v>
      </c>
      <c r="C26" s="13" t="s">
        <v>37</v>
      </c>
      <c r="D26" s="8" t="s">
        <v>41</v>
      </c>
      <c r="E26" s="13" t="s">
        <v>42</v>
      </c>
      <c r="F26" s="15" t="s">
        <v>29</v>
      </c>
      <c r="G26" s="13" t="s">
        <v>43</v>
      </c>
      <c r="H26" s="13">
        <v>2</v>
      </c>
      <c r="I26" s="13">
        <f t="shared" si="1"/>
        <v>9.1762835034256671</v>
      </c>
      <c r="J26" s="13">
        <v>5.0990195135927806E-2</v>
      </c>
      <c r="K26" s="13" t="s">
        <v>31</v>
      </c>
      <c r="L26" s="13" t="s">
        <v>31</v>
      </c>
      <c r="M26" s="13" t="s">
        <v>31</v>
      </c>
    </row>
    <row r="27" spans="1:13" ht="15.75">
      <c r="A27" s="7" t="s">
        <v>245</v>
      </c>
      <c r="B27" s="9">
        <v>52.488744600600008</v>
      </c>
      <c r="C27" s="13" t="s">
        <v>37</v>
      </c>
      <c r="D27" s="8" t="s">
        <v>41</v>
      </c>
      <c r="E27" s="13" t="s">
        <v>42</v>
      </c>
      <c r="F27" s="15" t="s">
        <v>29</v>
      </c>
      <c r="G27" s="13" t="s">
        <v>43</v>
      </c>
      <c r="H27" s="13">
        <v>2</v>
      </c>
      <c r="I27" s="13">
        <f t="shared" si="1"/>
        <v>3.9605987580530657</v>
      </c>
      <c r="J27" s="13">
        <v>5.0990195135927806E-2</v>
      </c>
      <c r="K27" s="13" t="s">
        <v>31</v>
      </c>
      <c r="L27" s="13" t="s">
        <v>31</v>
      </c>
      <c r="M27" s="13" t="s">
        <v>31</v>
      </c>
    </row>
    <row r="28" spans="1:13" ht="15.75">
      <c r="A28" s="7" t="s">
        <v>49</v>
      </c>
      <c r="B28" s="9">
        <v>0.64467752580000004</v>
      </c>
      <c r="C28" s="13" t="s">
        <v>37</v>
      </c>
      <c r="D28" s="8" t="s">
        <v>41</v>
      </c>
      <c r="E28" s="13" t="s">
        <v>42</v>
      </c>
      <c r="F28" s="15" t="s">
        <v>29</v>
      </c>
      <c r="G28" s="13" t="s">
        <v>43</v>
      </c>
      <c r="H28" s="13">
        <v>2</v>
      </c>
      <c r="I28" s="13">
        <f t="shared" si="1"/>
        <v>-0.43900504720803757</v>
      </c>
      <c r="J28" s="13">
        <v>5.0990195135927806E-2</v>
      </c>
      <c r="K28" s="13" t="s">
        <v>31</v>
      </c>
      <c r="L28" s="13" t="s">
        <v>31</v>
      </c>
      <c r="M28" s="13" t="s">
        <v>31</v>
      </c>
    </row>
    <row r="29" spans="1:13" ht="15.75">
      <c r="A29" s="7" t="s">
        <v>40</v>
      </c>
      <c r="B29" s="9">
        <v>1.8140925726000003</v>
      </c>
      <c r="C29" s="13" t="s">
        <v>37</v>
      </c>
      <c r="D29" s="8" t="s">
        <v>41</v>
      </c>
      <c r="E29" s="13" t="s">
        <v>42</v>
      </c>
      <c r="F29" s="15" t="s">
        <v>29</v>
      </c>
      <c r="G29" s="13" t="s">
        <v>43</v>
      </c>
      <c r="H29" s="13">
        <v>2</v>
      </c>
      <c r="I29" s="13">
        <f t="shared" si="1"/>
        <v>0.59558538269514116</v>
      </c>
      <c r="J29" s="13">
        <v>5.0990195135927806E-2</v>
      </c>
      <c r="K29" s="13" t="s">
        <v>31</v>
      </c>
      <c r="L29" s="13" t="s">
        <v>31</v>
      </c>
      <c r="M29" s="13" t="s">
        <v>31</v>
      </c>
    </row>
    <row r="30" spans="1:13" ht="15.75">
      <c r="A30" s="10" t="s">
        <v>243</v>
      </c>
      <c r="B30" s="9">
        <v>642.38020000000006</v>
      </c>
      <c r="C30" s="13" t="s">
        <v>37</v>
      </c>
      <c r="D30" s="8" t="s">
        <v>38</v>
      </c>
      <c r="E30" s="13" t="s">
        <v>29</v>
      </c>
      <c r="F30" s="15" t="s">
        <v>130</v>
      </c>
      <c r="G30" s="13" t="s">
        <v>33</v>
      </c>
      <c r="H30" s="13">
        <v>2</v>
      </c>
      <c r="I30" s="13">
        <f t="shared" si="1"/>
        <v>6.4651803402397388</v>
      </c>
      <c r="J30" s="13">
        <v>5.0990195135927806E-2</v>
      </c>
      <c r="K30" s="13" t="s">
        <v>31</v>
      </c>
      <c r="L30" s="13" t="s">
        <v>31</v>
      </c>
      <c r="M30" s="13" t="s">
        <v>31</v>
      </c>
    </row>
    <row r="31" spans="1:13" ht="15.75">
      <c r="A31" s="1" t="s">
        <v>5</v>
      </c>
      <c r="B31" s="2" t="s">
        <v>393</v>
      </c>
      <c r="C31" s="3"/>
      <c r="D31" s="11"/>
      <c r="E31" s="11"/>
      <c r="F31" s="11"/>
      <c r="G31" s="11"/>
      <c r="H31" s="11"/>
      <c r="I31" s="11"/>
      <c r="J31" s="11"/>
      <c r="K31" s="11"/>
      <c r="L31" s="11"/>
      <c r="M31" s="11"/>
    </row>
    <row r="32" spans="1:13">
      <c r="A32" s="12" t="s">
        <v>7</v>
      </c>
      <c r="B32" s="13" t="s">
        <v>196</v>
      </c>
      <c r="C32" s="4"/>
      <c r="D32" s="13"/>
      <c r="E32" s="13"/>
      <c r="F32" s="13"/>
      <c r="G32" s="13"/>
      <c r="H32" s="13"/>
      <c r="I32" s="13"/>
      <c r="J32" s="13"/>
      <c r="K32" s="13"/>
      <c r="L32" s="13"/>
      <c r="M32" s="13"/>
    </row>
    <row r="33" spans="1:13">
      <c r="A33" s="12" t="s">
        <v>9</v>
      </c>
      <c r="B33" s="13" t="s">
        <v>401</v>
      </c>
      <c r="C33" s="13"/>
      <c r="D33" s="13"/>
      <c r="E33" s="13"/>
      <c r="F33" s="13"/>
      <c r="G33" s="13"/>
      <c r="H33" s="13"/>
      <c r="I33" s="13"/>
      <c r="J33" s="13"/>
      <c r="K33" s="13"/>
      <c r="L33" s="13"/>
      <c r="M33" s="13"/>
    </row>
    <row r="34" spans="1:13" ht="45">
      <c r="A34" s="12" t="s">
        <v>11</v>
      </c>
      <c r="B34" s="14" t="s">
        <v>402</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393</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252</v>
      </c>
      <c r="B42" s="13">
        <v>1526.2996000000001</v>
      </c>
      <c r="C42" s="13" t="s">
        <v>37</v>
      </c>
      <c r="D42" s="8" t="s">
        <v>38</v>
      </c>
      <c r="E42" s="13" t="s">
        <v>29</v>
      </c>
      <c r="F42" s="15" t="s">
        <v>57</v>
      </c>
      <c r="G42" s="13" t="s">
        <v>33</v>
      </c>
      <c r="H42" s="13">
        <v>2</v>
      </c>
      <c r="I42" s="13">
        <f t="shared" ref="I42:I45" si="2">LN(B42)</f>
        <v>7.3306015228493653</v>
      </c>
      <c r="J42" s="13">
        <v>0.24083189157584584</v>
      </c>
      <c r="K42" s="13" t="s">
        <v>31</v>
      </c>
      <c r="L42" s="13" t="s">
        <v>31</v>
      </c>
      <c r="M42" s="13" t="s">
        <v>31</v>
      </c>
    </row>
    <row r="43" spans="1:13" ht="15.75">
      <c r="A43" s="7" t="s">
        <v>163</v>
      </c>
      <c r="B43" s="13">
        <v>51.336199999999998</v>
      </c>
      <c r="C43" s="13" t="s">
        <v>37</v>
      </c>
      <c r="D43" s="8" t="s">
        <v>38</v>
      </c>
      <c r="E43" s="13" t="s">
        <v>29</v>
      </c>
      <c r="F43" s="15" t="s">
        <v>57</v>
      </c>
      <c r="G43" s="13" t="s">
        <v>33</v>
      </c>
      <c r="H43" s="13">
        <v>2</v>
      </c>
      <c r="I43" s="13">
        <f t="shared" si="2"/>
        <v>3.9383961563421366</v>
      </c>
      <c r="J43" s="13">
        <v>0.24083189157584584</v>
      </c>
      <c r="K43" s="13" t="s">
        <v>31</v>
      </c>
      <c r="L43" s="13" t="s">
        <v>31</v>
      </c>
      <c r="M43" s="13" t="s">
        <v>31</v>
      </c>
    </row>
    <row r="44" spans="1:13" ht="15.75">
      <c r="A44" s="7" t="s">
        <v>288</v>
      </c>
      <c r="B44" s="13">
        <v>139.31519999999998</v>
      </c>
      <c r="C44" s="13" t="s">
        <v>37</v>
      </c>
      <c r="D44" s="8" t="s">
        <v>38</v>
      </c>
      <c r="E44" s="13" t="s">
        <v>29</v>
      </c>
      <c r="F44" s="15" t="s">
        <v>57</v>
      </c>
      <c r="G44" s="13" t="s">
        <v>33</v>
      </c>
      <c r="H44" s="13">
        <v>2</v>
      </c>
      <c r="I44" s="13">
        <f t="shared" si="2"/>
        <v>4.9367389918465712</v>
      </c>
      <c r="J44" s="13">
        <v>0.24083189157584584</v>
      </c>
      <c r="K44" s="13" t="s">
        <v>31</v>
      </c>
      <c r="L44" s="13" t="s">
        <v>31</v>
      </c>
      <c r="M44" s="13" t="s">
        <v>31</v>
      </c>
    </row>
    <row r="45" spans="1:13" ht="15.75">
      <c r="A45" s="7" t="s">
        <v>255</v>
      </c>
      <c r="B45" s="13">
        <v>97.048999999999992</v>
      </c>
      <c r="C45" s="13" t="s">
        <v>37</v>
      </c>
      <c r="D45" s="8" t="s">
        <v>38</v>
      </c>
      <c r="E45" s="13" t="s">
        <v>29</v>
      </c>
      <c r="F45" s="15" t="s">
        <v>57</v>
      </c>
      <c r="G45" s="13" t="s">
        <v>33</v>
      </c>
      <c r="H45" s="13">
        <v>2</v>
      </c>
      <c r="I45" s="13">
        <f t="shared" si="2"/>
        <v>4.575216005594906</v>
      </c>
      <c r="J45" s="13">
        <v>0.24083189157584584</v>
      </c>
      <c r="K45" s="13" t="s">
        <v>31</v>
      </c>
      <c r="L45" s="13" t="s">
        <v>31</v>
      </c>
      <c r="M45" s="13" t="s">
        <v>31</v>
      </c>
    </row>
    <row r="46" spans="1:13" ht="15.75">
      <c r="A46" s="1" t="s">
        <v>5</v>
      </c>
      <c r="B46" s="2" t="s">
        <v>394</v>
      </c>
      <c r="C46" s="3"/>
      <c r="D46" s="11"/>
      <c r="E46" s="11"/>
      <c r="F46" s="11"/>
      <c r="G46" s="11"/>
      <c r="H46" s="11"/>
      <c r="I46" s="11"/>
      <c r="J46" s="11"/>
      <c r="K46" s="11"/>
      <c r="L46" s="11"/>
      <c r="M46" s="11"/>
    </row>
    <row r="47" spans="1:13">
      <c r="A47" s="12" t="s">
        <v>7</v>
      </c>
      <c r="B47" s="13" t="s">
        <v>196</v>
      </c>
      <c r="C47" s="4"/>
      <c r="D47" s="13"/>
      <c r="E47" s="13"/>
      <c r="F47" s="13"/>
      <c r="G47" s="13"/>
      <c r="H47" s="13"/>
      <c r="I47" s="13"/>
      <c r="J47" s="13"/>
      <c r="K47" s="13"/>
      <c r="L47" s="13"/>
      <c r="M47" s="13"/>
    </row>
    <row r="48" spans="1:13">
      <c r="A48" s="12" t="s">
        <v>9</v>
      </c>
      <c r="B48" s="13" t="s">
        <v>403</v>
      </c>
      <c r="C48" s="13"/>
      <c r="D48" s="13"/>
      <c r="E48" s="13"/>
      <c r="F48" s="13"/>
      <c r="G48" s="13"/>
      <c r="H48" s="13"/>
      <c r="I48" s="13"/>
      <c r="J48" s="13"/>
      <c r="K48" s="13"/>
      <c r="L48" s="13"/>
      <c r="M48" s="13"/>
    </row>
    <row r="49" spans="1:13" ht="45">
      <c r="A49" s="12" t="s">
        <v>11</v>
      </c>
      <c r="B49" s="14" t="s">
        <v>404</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394</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252</v>
      </c>
      <c r="B57" s="13">
        <v>10.815663292488013</v>
      </c>
      <c r="C57" s="13" t="s">
        <v>37</v>
      </c>
      <c r="D57" s="8" t="s">
        <v>38</v>
      </c>
      <c r="E57" s="13" t="s">
        <v>29</v>
      </c>
      <c r="F57" s="15" t="s">
        <v>57</v>
      </c>
      <c r="G57" s="13" t="s">
        <v>33</v>
      </c>
      <c r="H57" s="13">
        <v>2</v>
      </c>
      <c r="I57" s="13">
        <f>LN(B57)</f>
        <v>2.3809953883138264</v>
      </c>
      <c r="J57" s="13">
        <v>0.24083189157584584</v>
      </c>
      <c r="K57" s="13" t="s">
        <v>31</v>
      </c>
      <c r="L57" s="13" t="s">
        <v>31</v>
      </c>
      <c r="M57" s="13" t="s">
        <v>31</v>
      </c>
    </row>
    <row r="58" spans="1:13" ht="15.75">
      <c r="A58" s="7" t="s">
        <v>288</v>
      </c>
      <c r="B58" s="13">
        <v>184.40170484816201</v>
      </c>
      <c r="C58" s="13" t="s">
        <v>37</v>
      </c>
      <c r="D58" s="8" t="s">
        <v>38</v>
      </c>
      <c r="E58" s="13" t="s">
        <v>29</v>
      </c>
      <c r="F58" s="15" t="s">
        <v>57</v>
      </c>
      <c r="G58" s="13" t="s">
        <v>33</v>
      </c>
      <c r="H58" s="13">
        <v>2</v>
      </c>
      <c r="I58" s="13">
        <f>LN(B58)</f>
        <v>5.2171165564602431</v>
      </c>
      <c r="J58" s="13">
        <v>0.24083189157584584</v>
      </c>
      <c r="K58" s="13" t="s">
        <v>31</v>
      </c>
      <c r="L58" s="13" t="s">
        <v>31</v>
      </c>
      <c r="M58" s="13" t="s">
        <v>31</v>
      </c>
    </row>
    <row r="59" spans="1:13" ht="15.75">
      <c r="A59" s="7" t="s">
        <v>405</v>
      </c>
      <c r="B59" s="13">
        <v>5.782631859350027</v>
      </c>
      <c r="C59" s="13" t="s">
        <v>37</v>
      </c>
      <c r="D59" s="8" t="s">
        <v>38</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395</v>
      </c>
      <c r="C60" s="3"/>
      <c r="D60" s="11"/>
      <c r="E60" s="11"/>
      <c r="F60" s="11"/>
      <c r="G60" s="11"/>
      <c r="H60" s="11"/>
      <c r="I60" s="11"/>
      <c r="J60" s="11"/>
      <c r="K60" s="11"/>
      <c r="L60" s="11"/>
      <c r="M60" s="11"/>
    </row>
    <row r="61" spans="1:13">
      <c r="A61" s="12" t="s">
        <v>7</v>
      </c>
      <c r="B61" s="13" t="s">
        <v>196</v>
      </c>
      <c r="C61" s="4"/>
      <c r="D61" s="13"/>
      <c r="E61" s="13"/>
      <c r="F61" s="13"/>
      <c r="G61" s="13"/>
      <c r="H61" s="13"/>
      <c r="I61" s="13"/>
      <c r="J61" s="13"/>
      <c r="K61" s="13"/>
      <c r="L61" s="13"/>
      <c r="M61" s="13"/>
    </row>
    <row r="62" spans="1:13">
      <c r="A62" s="12" t="s">
        <v>9</v>
      </c>
      <c r="B62" s="13" t="s">
        <v>406</v>
      </c>
      <c r="C62" s="13"/>
      <c r="D62" s="13"/>
      <c r="E62" s="13"/>
      <c r="F62" s="13"/>
      <c r="G62" s="13"/>
      <c r="H62" s="13"/>
      <c r="I62" s="13"/>
      <c r="J62" s="13"/>
      <c r="K62" s="13"/>
      <c r="L62" s="13"/>
      <c r="M62" s="13"/>
    </row>
    <row r="63" spans="1:13" ht="45">
      <c r="A63" s="12" t="s">
        <v>11</v>
      </c>
      <c r="B63" s="14" t="s">
        <v>407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395</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252</v>
      </c>
      <c r="B71" s="13">
        <v>8.8535234899328845</v>
      </c>
      <c r="C71" s="13" t="s">
        <v>37</v>
      </c>
      <c r="D71" s="8" t="s">
        <v>38</v>
      </c>
      <c r="E71" s="13" t="s">
        <v>29</v>
      </c>
      <c r="F71" s="15" t="s">
        <v>57</v>
      </c>
      <c r="G71" s="13" t="s">
        <v>33</v>
      </c>
      <c r="H71" s="13">
        <v>2</v>
      </c>
      <c r="I71" s="13">
        <f>LN(B71)</f>
        <v>2.180815514241039</v>
      </c>
      <c r="J71" s="13">
        <v>0.24083189157584584</v>
      </c>
      <c r="K71" s="13" t="s">
        <v>31</v>
      </c>
      <c r="L71" s="13" t="s">
        <v>31</v>
      </c>
      <c r="M71" s="13" t="s">
        <v>31</v>
      </c>
    </row>
    <row r="72" spans="1:13" ht="15.75">
      <c r="A72" s="7" t="s">
        <v>288</v>
      </c>
      <c r="B72" s="13">
        <v>141.65637583892615</v>
      </c>
      <c r="C72" s="13" t="s">
        <v>37</v>
      </c>
      <c r="D72" s="8" t="s">
        <v>38</v>
      </c>
      <c r="E72" s="13" t="s">
        <v>29</v>
      </c>
      <c r="F72" s="15" t="s">
        <v>57</v>
      </c>
      <c r="G72" s="13" t="s">
        <v>33</v>
      </c>
      <c r="H72" s="13">
        <v>2</v>
      </c>
      <c r="I72" s="13">
        <f>LN(B72)</f>
        <v>4.9534042364808197</v>
      </c>
      <c r="J72" s="13">
        <v>0.24083189157584584</v>
      </c>
      <c r="K72" s="13" t="s">
        <v>31</v>
      </c>
      <c r="L72" s="13" t="s">
        <v>31</v>
      </c>
      <c r="M72" s="13" t="s">
        <v>31</v>
      </c>
    </row>
    <row r="73" spans="1:13" ht="15.75">
      <c r="A73" s="7" t="s">
        <v>405</v>
      </c>
      <c r="B73" s="13">
        <v>106.89010067114093</v>
      </c>
      <c r="C73" s="13" t="s">
        <v>37</v>
      </c>
      <c r="D73" s="8" t="s">
        <v>38</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396</v>
      </c>
      <c r="C74" s="3"/>
      <c r="D74" s="11"/>
      <c r="E74" s="11"/>
      <c r="F74" s="11"/>
      <c r="G74" s="11"/>
      <c r="H74" s="11"/>
      <c r="I74" s="11"/>
      <c r="J74" s="11"/>
      <c r="K74" s="11"/>
      <c r="L74" s="11"/>
      <c r="M74" s="11"/>
    </row>
    <row r="75" spans="1:13">
      <c r="A75" s="12" t="s">
        <v>7</v>
      </c>
      <c r="B75" s="13" t="s">
        <v>196</v>
      </c>
      <c r="C75" s="4"/>
      <c r="D75" s="13"/>
      <c r="E75" s="13"/>
      <c r="F75" s="13"/>
      <c r="G75" s="13"/>
      <c r="H75" s="13"/>
      <c r="I75" s="13"/>
      <c r="J75" s="13"/>
      <c r="K75" s="13"/>
      <c r="L75" s="13"/>
      <c r="M75" s="13"/>
    </row>
    <row r="76" spans="1:13">
      <c r="A76" s="12" t="s">
        <v>9</v>
      </c>
      <c r="B76" s="13" t="s">
        <v>408</v>
      </c>
      <c r="C76" s="13"/>
      <c r="D76" s="13"/>
      <c r="E76" s="13"/>
      <c r="F76" s="13"/>
      <c r="G76" s="13"/>
      <c r="H76" s="13"/>
      <c r="I76" s="13"/>
      <c r="J76" s="13"/>
      <c r="K76" s="13"/>
      <c r="L76" s="13"/>
      <c r="M76" s="13"/>
    </row>
    <row r="77" spans="1:13" ht="60">
      <c r="A77" s="12" t="s">
        <v>11</v>
      </c>
      <c r="B77" s="14" t="s">
        <v>409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396</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252</v>
      </c>
      <c r="B85" s="13">
        <f>2019.81731223859/2306.857618*2374.3</f>
        <v>2078.8678967563765</v>
      </c>
      <c r="C85" s="13" t="s">
        <v>37</v>
      </c>
      <c r="D85" s="8" t="s">
        <v>38</v>
      </c>
      <c r="E85" s="13" t="s">
        <v>29</v>
      </c>
      <c r="F85" s="15" t="s">
        <v>57</v>
      </c>
      <c r="G85" s="13" t="s">
        <v>33</v>
      </c>
      <c r="H85" s="13">
        <v>2</v>
      </c>
      <c r="I85" s="13">
        <f>LN(B85)</f>
        <v>7.6395787441154273</v>
      </c>
      <c r="J85" s="13">
        <v>0.24083189157584584</v>
      </c>
      <c r="K85" s="13" t="s">
        <v>31</v>
      </c>
      <c r="L85" s="13" t="s">
        <v>31</v>
      </c>
      <c r="M85" s="13" t="s">
        <v>31</v>
      </c>
    </row>
    <row r="86" spans="1:13" ht="15.75">
      <c r="A86" s="7" t="s">
        <v>405</v>
      </c>
      <c r="B86" s="13">
        <f>10.7942353155119/2306.857618*2374.3</f>
        <v>11.109811333670228</v>
      </c>
      <c r="C86" s="13" t="s">
        <v>37</v>
      </c>
      <c r="D86" s="8" t="s">
        <v>38</v>
      </c>
      <c r="E86" s="13" t="s">
        <v>29</v>
      </c>
      <c r="F86" s="15" t="s">
        <v>57</v>
      </c>
      <c r="G86" s="13" t="s">
        <v>33</v>
      </c>
      <c r="H86" s="13">
        <v>2</v>
      </c>
      <c r="I86" s="13">
        <f>LN(B86)</f>
        <v>2.4078286218395024</v>
      </c>
      <c r="J86" s="13">
        <v>0.24083189157584584</v>
      </c>
      <c r="K86" s="13" t="s">
        <v>31</v>
      </c>
      <c r="L86" s="13" t="s">
        <v>31</v>
      </c>
      <c r="M86" s="13" t="s">
        <v>31</v>
      </c>
    </row>
    <row r="87" spans="1:13" ht="15.75">
      <c r="A87" s="7" t="s">
        <v>163</v>
      </c>
      <c r="B87" s="13">
        <f>16.320883797054/2306.857618*2374.3</f>
        <v>16.798034736509393</v>
      </c>
      <c r="C87" s="13" t="s">
        <v>37</v>
      </c>
      <c r="D87" s="8" t="s">
        <v>38</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255</v>
      </c>
      <c r="B88" s="13">
        <f>107.942353155119/2306.857618*2374.3</f>
        <v>111.09811333670228</v>
      </c>
      <c r="C88" s="13" t="s">
        <v>37</v>
      </c>
      <c r="D88" s="8" t="s">
        <v>38</v>
      </c>
      <c r="E88" s="13" t="s">
        <v>29</v>
      </c>
      <c r="F88" s="15" t="s">
        <v>57</v>
      </c>
      <c r="G88" s="13" t="s">
        <v>33</v>
      </c>
      <c r="H88" s="13">
        <v>2</v>
      </c>
      <c r="I88" s="13">
        <f t="shared" si="3"/>
        <v>4.7104137148335479</v>
      </c>
      <c r="J88" s="13">
        <v>0.24083189157584584</v>
      </c>
      <c r="K88" s="13" t="s">
        <v>31</v>
      </c>
      <c r="L88" s="13" t="s">
        <v>31</v>
      </c>
      <c r="M88" s="13" t="s">
        <v>31</v>
      </c>
    </row>
    <row r="89" spans="1:13" ht="15.75">
      <c r="A89" s="7" t="s">
        <v>288</v>
      </c>
      <c r="B89" s="13">
        <f>151.982833242408/2306.857618*2374.3</f>
        <v>156.42614357807724</v>
      </c>
      <c r="C89" s="13" t="s">
        <v>37</v>
      </c>
      <c r="D89" s="8" t="s">
        <v>38</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397</v>
      </c>
      <c r="C90" s="3"/>
      <c r="D90" s="11"/>
      <c r="E90" s="11"/>
      <c r="F90" s="11"/>
      <c r="G90" s="11"/>
      <c r="H90" s="11"/>
      <c r="I90" s="11"/>
      <c r="J90" s="11"/>
      <c r="K90" s="11"/>
      <c r="L90" s="11"/>
      <c r="M90" s="11"/>
    </row>
    <row r="91" spans="1:13">
      <c r="A91" s="12" t="s">
        <v>7</v>
      </c>
      <c r="B91" s="13" t="s">
        <v>196</v>
      </c>
      <c r="C91" s="4"/>
      <c r="D91" s="13"/>
      <c r="E91" s="13"/>
      <c r="F91" s="13"/>
      <c r="G91" s="13"/>
      <c r="H91" s="13"/>
      <c r="I91" s="13"/>
      <c r="J91" s="13"/>
      <c r="K91" s="13"/>
      <c r="L91" s="13"/>
      <c r="M91" s="13"/>
    </row>
    <row r="92" spans="1:13">
      <c r="A92" s="12" t="s">
        <v>9</v>
      </c>
      <c r="B92" s="13" t="s">
        <v>410</v>
      </c>
      <c r="C92" s="13"/>
      <c r="D92" s="13"/>
      <c r="E92" s="13"/>
      <c r="F92" s="13"/>
      <c r="G92" s="13"/>
      <c r="H92" s="13"/>
      <c r="I92" s="13"/>
      <c r="J92" s="13"/>
      <c r="K92" s="13"/>
      <c r="L92" s="13"/>
      <c r="M92" s="13"/>
    </row>
    <row r="93" spans="1:13" ht="45">
      <c r="A93" s="12" t="s">
        <v>11</v>
      </c>
      <c r="B93" s="14" t="s">
        <v>411</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397</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252</v>
      </c>
      <c r="B101" s="13">
        <v>31.572663684424562</v>
      </c>
      <c r="C101" s="13" t="s">
        <v>37</v>
      </c>
      <c r="D101" s="8" t="s">
        <v>38</v>
      </c>
      <c r="E101" s="13" t="s">
        <v>29</v>
      </c>
      <c r="F101" s="15" t="s">
        <v>57</v>
      </c>
      <c r="G101" s="13" t="s">
        <v>33</v>
      </c>
      <c r="H101" s="13">
        <v>2</v>
      </c>
      <c r="I101" s="13">
        <f>LN(B101)</f>
        <v>3.4522916729233417</v>
      </c>
      <c r="J101" s="13">
        <v>0.24083189157584584</v>
      </c>
      <c r="K101" s="13" t="s">
        <v>31</v>
      </c>
      <c r="L101" s="13" t="s">
        <v>31</v>
      </c>
      <c r="M101" s="13" t="s">
        <v>31</v>
      </c>
    </row>
    <row r="102" spans="1:13" ht="15.75">
      <c r="A102" s="7" t="s">
        <v>163</v>
      </c>
      <c r="B102" s="13">
        <v>577.50131760878401</v>
      </c>
      <c r="C102" s="13" t="s">
        <v>37</v>
      </c>
      <c r="D102" s="8" t="s">
        <v>38</v>
      </c>
      <c r="E102" s="13" t="s">
        <v>29</v>
      </c>
      <c r="F102" s="15" t="s">
        <v>57</v>
      </c>
      <c r="G102" s="13" t="s">
        <v>33</v>
      </c>
      <c r="H102" s="13">
        <v>2</v>
      </c>
      <c r="I102" s="13">
        <f>LN(B102)</f>
        <v>6.3587107239669978</v>
      </c>
      <c r="J102" s="13">
        <v>0.24083189157584584</v>
      </c>
      <c r="K102" s="13" t="s">
        <v>31</v>
      </c>
      <c r="L102" s="13" t="s">
        <v>31</v>
      </c>
      <c r="M102" s="13" t="s">
        <v>31</v>
      </c>
    </row>
    <row r="103" spans="1:13" ht="15.75">
      <c r="A103" s="7" t="s">
        <v>288</v>
      </c>
      <c r="B103" s="13">
        <v>5.2533550223668151</v>
      </c>
      <c r="C103" s="13" t="s">
        <v>37</v>
      </c>
      <c r="D103" s="8" t="s">
        <v>38</v>
      </c>
      <c r="E103" s="13" t="s">
        <v>29</v>
      </c>
      <c r="F103" s="15" t="s">
        <v>57</v>
      </c>
      <c r="G103" s="13" t="s">
        <v>33</v>
      </c>
      <c r="H103" s="13">
        <v>2</v>
      </c>
      <c r="I103" s="13">
        <f t="shared" ref="I103:I104" si="4">LN(B103)</f>
        <v>1.6588669243762253</v>
      </c>
      <c r="J103" s="13">
        <v>0.24083189157584584</v>
      </c>
      <c r="K103" s="13" t="s">
        <v>31</v>
      </c>
      <c r="L103" s="13" t="s">
        <v>31</v>
      </c>
      <c r="M103" s="13" t="s">
        <v>31</v>
      </c>
    </row>
    <row r="104" spans="1:13" ht="15.75">
      <c r="A104" s="7" t="s">
        <v>255</v>
      </c>
      <c r="B104" s="13">
        <v>31.572663684424562</v>
      </c>
      <c r="C104" s="13" t="s">
        <v>37</v>
      </c>
      <c r="D104" s="8" t="s">
        <v>38</v>
      </c>
      <c r="E104" s="13" t="s">
        <v>29</v>
      </c>
      <c r="F104" s="15" t="s">
        <v>57</v>
      </c>
      <c r="G104" s="13" t="s">
        <v>33</v>
      </c>
      <c r="H104" s="13">
        <v>2</v>
      </c>
      <c r="I104" s="13">
        <f t="shared" si="4"/>
        <v>3.4522916729233417</v>
      </c>
      <c r="J104" s="13">
        <v>0.24083189157584584</v>
      </c>
      <c r="K104" s="13" t="s">
        <v>31</v>
      </c>
      <c r="L104" s="13" t="s">
        <v>31</v>
      </c>
      <c r="M104" s="13" t="s">
        <v>31</v>
      </c>
    </row>
    <row r="105" spans="1:13" ht="15.75">
      <c r="A105" s="1" t="s">
        <v>5</v>
      </c>
      <c r="B105" s="2" t="s">
        <v>398</v>
      </c>
      <c r="C105" s="3"/>
      <c r="D105" s="11"/>
      <c r="E105" s="11"/>
      <c r="F105" s="11"/>
      <c r="G105" s="11"/>
      <c r="H105" s="11"/>
      <c r="I105" s="11"/>
      <c r="J105" s="11"/>
      <c r="K105" s="11"/>
      <c r="L105" s="11"/>
      <c r="M105" s="11"/>
    </row>
    <row r="106" spans="1:13">
      <c r="A106" s="12" t="s">
        <v>7</v>
      </c>
      <c r="B106" s="13" t="s">
        <v>196</v>
      </c>
      <c r="C106" s="4"/>
      <c r="D106" s="13"/>
      <c r="E106" s="13"/>
      <c r="F106" s="13"/>
      <c r="G106" s="13"/>
      <c r="H106" s="13"/>
      <c r="I106" s="13"/>
      <c r="J106" s="13"/>
      <c r="K106" s="13"/>
      <c r="L106" s="13"/>
      <c r="M106" s="13"/>
    </row>
    <row r="107" spans="1:13">
      <c r="A107" s="12" t="s">
        <v>9</v>
      </c>
      <c r="B107" s="13" t="s">
        <v>412</v>
      </c>
      <c r="C107" s="13"/>
      <c r="D107" s="13"/>
      <c r="E107" s="13"/>
      <c r="F107" s="13"/>
      <c r="G107" s="13"/>
      <c r="H107" s="13"/>
      <c r="I107" s="13"/>
      <c r="J107" s="13"/>
      <c r="K107" s="13"/>
      <c r="L107" s="13"/>
      <c r="M107" s="13"/>
    </row>
    <row r="108" spans="1:13" ht="45">
      <c r="A108" s="12" t="s">
        <v>11</v>
      </c>
      <c r="B108" s="14" t="s">
        <v>413</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398</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252</v>
      </c>
      <c r="B116" s="13">
        <v>6.8659240924092444</v>
      </c>
      <c r="C116" s="13" t="s">
        <v>37</v>
      </c>
      <c r="D116" s="8" t="s">
        <v>38</v>
      </c>
      <c r="E116" s="13" t="s">
        <v>29</v>
      </c>
      <c r="F116" s="15" t="s">
        <v>57</v>
      </c>
      <c r="G116" s="13" t="s">
        <v>33</v>
      </c>
      <c r="H116" s="13">
        <v>2</v>
      </c>
      <c r="I116" s="13">
        <f>LN(B116)</f>
        <v>1.9265706393975219</v>
      </c>
      <c r="J116" s="13">
        <v>0.24083189157584584</v>
      </c>
      <c r="K116" s="13" t="s">
        <v>31</v>
      </c>
      <c r="L116" s="13" t="s">
        <v>31</v>
      </c>
      <c r="M116" s="13" t="s">
        <v>31</v>
      </c>
    </row>
    <row r="117" spans="1:13" ht="15.75">
      <c r="A117" s="7" t="s">
        <v>163</v>
      </c>
      <c r="B117" s="13">
        <v>127.33168316831684</v>
      </c>
      <c r="C117" s="13" t="s">
        <v>37</v>
      </c>
      <c r="D117" s="8" t="s">
        <v>38</v>
      </c>
      <c r="E117" s="13" t="s">
        <v>29</v>
      </c>
      <c r="F117" s="15" t="s">
        <v>57</v>
      </c>
      <c r="G117" s="13" t="s">
        <v>33</v>
      </c>
      <c r="H117" s="13">
        <v>2</v>
      </c>
      <c r="I117" s="13">
        <f>LN(B117)</f>
        <v>4.8467953604433669</v>
      </c>
      <c r="J117" s="13">
        <v>0.24083189157584584</v>
      </c>
      <c r="K117" s="13" t="s">
        <v>31</v>
      </c>
      <c r="L117" s="13" t="s">
        <v>31</v>
      </c>
      <c r="M117" s="13" t="s">
        <v>31</v>
      </c>
    </row>
    <row r="118" spans="1:13" ht="15.75">
      <c r="A118" s="7" t="s">
        <v>288</v>
      </c>
      <c r="B118" s="13">
        <v>10.236468646864687</v>
      </c>
      <c r="C118" s="13" t="s">
        <v>37</v>
      </c>
      <c r="D118" s="8" t="s">
        <v>38</v>
      </c>
      <c r="E118" s="13" t="s">
        <v>29</v>
      </c>
      <c r="F118" s="15" t="s">
        <v>57</v>
      </c>
      <c r="G118" s="13" t="s">
        <v>33</v>
      </c>
      <c r="H118" s="13">
        <v>2</v>
      </c>
      <c r="I118" s="13">
        <f t="shared" ref="I118:I119" si="5">LN(B118)</f>
        <v>2.3259567014293037</v>
      </c>
      <c r="J118" s="13">
        <v>0.24083189157584584</v>
      </c>
      <c r="K118" s="13" t="s">
        <v>31</v>
      </c>
      <c r="L118" s="13" t="s">
        <v>31</v>
      </c>
      <c r="M118" s="13" t="s">
        <v>31</v>
      </c>
    </row>
    <row r="119" spans="1:13" ht="15.75">
      <c r="A119" s="7" t="s">
        <v>255</v>
      </c>
      <c r="B119" s="13">
        <v>6.8659240924092417</v>
      </c>
      <c r="C119" s="13" t="s">
        <v>37</v>
      </c>
      <c r="D119" s="8" t="s">
        <v>38</v>
      </c>
      <c r="E119" s="13" t="s">
        <v>29</v>
      </c>
      <c r="F119" s="15" t="s">
        <v>57</v>
      </c>
      <c r="G119" s="13" t="s">
        <v>33</v>
      </c>
      <c r="H119" s="13">
        <v>2</v>
      </c>
      <c r="I119" s="13">
        <f t="shared" si="5"/>
        <v>1.9265706393975215</v>
      </c>
      <c r="J119" s="13">
        <v>0.24083189157584584</v>
      </c>
      <c r="K119" s="13" t="s">
        <v>31</v>
      </c>
      <c r="L119" s="13" t="s">
        <v>31</v>
      </c>
      <c r="M119"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ACAB7DC9-1E48-4BCA-8878-BC038C227538}"/>
</file>

<file path=customXml/itemProps2.xml><?xml version="1.0" encoding="utf-8"?>
<ds:datastoreItem xmlns:ds="http://schemas.openxmlformats.org/officeDocument/2006/customXml" ds:itemID="{CEFC012B-D11A-464B-A816-788BC2BB1DE1}"/>
</file>

<file path=customXml/itemProps3.xml><?xml version="1.0" encoding="utf-8"?>
<ds:datastoreItem xmlns:ds="http://schemas.openxmlformats.org/officeDocument/2006/customXml" ds:itemID="{36F7B80F-DF29-4B25-8929-231CCF26BB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